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vile\Desktop\REGIONO ataskaita\2021\"/>
    </mc:Choice>
  </mc:AlternateContent>
  <bookViews>
    <workbookView xWindow="0" yWindow="0" windowWidth="28800" windowHeight="11700"/>
  </bookViews>
  <sheets>
    <sheet name="3.1. Vartotojų telkimas" sheetId="1" r:id="rId1"/>
    <sheet name="3.2. Vartotojų skaičius" sheetId="2" r:id="rId2"/>
    <sheet name="3.2.1. Vaikų skaičius" sheetId="3" r:id="rId3"/>
    <sheet name="3.3. Lankytojų skaičius" sheetId="4" r:id="rId4"/>
    <sheet name="3.3.1. Lankytojų vaikų skaičius" sheetId="5" r:id="rId5"/>
    <sheet name="3.4. Dokumentų išduotis" sheetId="6" r:id="rId6"/>
    <sheet name="3.5. Grož. ir šakin. išduotis" sheetId="7" r:id="rId7"/>
    <sheet name="3.6. Periodin. išduotis" sheetId="8" r:id="rId8"/>
    <sheet name="3.7. Išduotis vietoje ir į nam." sheetId="9" r:id="rId9"/>
    <sheet name="3.8. Skaitomumas ir lankomumas" sheetId="10" r:id="rId10"/>
    <sheet name="3.9. Vaikų skaitomumas" sheetId="11" r:id="rId11"/>
    <sheet name="3.10. Darbo vietos" sheetId="15" r:id="rId12"/>
    <sheet name="3.11. Užklausos" sheetId="13" r:id="rId13"/>
    <sheet name="3.12. Renginiai" sheetId="14" r:id="rId14"/>
    <sheet name="3.13. El. paslaugos" sheetId="12" r:id="rId15"/>
  </sheets>
  <calcPr calcId="162913"/>
</workbook>
</file>

<file path=xl/calcChain.xml><?xml version="1.0" encoding="utf-8"?>
<calcChain xmlns="http://schemas.openxmlformats.org/spreadsheetml/2006/main">
  <c r="P13" i="7" l="1"/>
  <c r="P11" i="7"/>
  <c r="P10" i="7"/>
  <c r="P9" i="7"/>
  <c r="J23" i="8"/>
  <c r="J22" i="8"/>
  <c r="J21" i="8"/>
  <c r="J20" i="8"/>
  <c r="H23" i="8"/>
  <c r="H20" i="8"/>
  <c r="F23" i="8"/>
  <c r="F22" i="8"/>
  <c r="F20" i="8"/>
  <c r="D23" i="8"/>
  <c r="D22" i="8"/>
  <c r="D21" i="8"/>
  <c r="D20" i="8"/>
  <c r="R21" i="7"/>
  <c r="R20" i="7"/>
  <c r="R19" i="7"/>
  <c r="R18" i="7"/>
  <c r="P21" i="7"/>
  <c r="P18" i="7"/>
  <c r="N21" i="7"/>
  <c r="N20" i="7"/>
  <c r="N18" i="7"/>
  <c r="L21" i="7"/>
  <c r="L20" i="7"/>
  <c r="L19" i="7"/>
  <c r="L18" i="7"/>
  <c r="J21" i="7"/>
  <c r="J20" i="7"/>
  <c r="J19" i="7"/>
  <c r="J18" i="7"/>
  <c r="H21" i="7"/>
  <c r="H18" i="7"/>
  <c r="F21" i="7"/>
  <c r="F20" i="7"/>
  <c r="F18" i="7"/>
  <c r="D21" i="7"/>
  <c r="D20" i="7"/>
  <c r="D19" i="7"/>
  <c r="D18" i="7"/>
  <c r="J16" i="8"/>
  <c r="J15" i="8"/>
  <c r="J12" i="8"/>
  <c r="J11" i="8"/>
  <c r="H15" i="8"/>
  <c r="H13" i="8"/>
  <c r="H12" i="8"/>
  <c r="H11" i="8"/>
  <c r="H10" i="8"/>
  <c r="F16" i="8"/>
  <c r="F15" i="8"/>
  <c r="F13" i="8"/>
  <c r="F12" i="8"/>
  <c r="F11" i="8"/>
  <c r="F10" i="8"/>
  <c r="D16" i="8"/>
  <c r="D15" i="8"/>
  <c r="D14" i="8"/>
  <c r="D13" i="8"/>
  <c r="D12" i="8"/>
  <c r="D11" i="8"/>
  <c r="D10" i="8"/>
  <c r="R14" i="7"/>
  <c r="R13" i="7"/>
  <c r="R10" i="7"/>
  <c r="R9" i="7"/>
  <c r="N14" i="7"/>
  <c r="N13" i="7"/>
  <c r="N11" i="7"/>
  <c r="N10" i="7"/>
  <c r="N9" i="7"/>
  <c r="N8" i="7"/>
  <c r="L14" i="7"/>
  <c r="L13" i="7"/>
  <c r="L12" i="7"/>
  <c r="L11" i="7"/>
  <c r="L10" i="7"/>
  <c r="L9" i="7"/>
  <c r="L8" i="7"/>
  <c r="J14" i="7"/>
  <c r="J13" i="7"/>
  <c r="J10" i="7"/>
  <c r="J9" i="7"/>
  <c r="H13" i="7"/>
  <c r="H11" i="7"/>
  <c r="H10" i="7"/>
  <c r="H9" i="7"/>
  <c r="H8" i="7"/>
  <c r="F14" i="7"/>
  <c r="F13" i="7"/>
  <c r="F11" i="7"/>
  <c r="F10" i="7"/>
  <c r="F9" i="7"/>
  <c r="F8" i="7"/>
  <c r="D14" i="7"/>
  <c r="D13" i="7"/>
  <c r="D12" i="7"/>
  <c r="D11" i="7"/>
  <c r="D10" i="7"/>
  <c r="D9" i="7"/>
  <c r="D8" i="7"/>
  <c r="P9" i="15" l="1"/>
  <c r="O9" i="15"/>
  <c r="N9" i="15"/>
  <c r="M9" i="15"/>
  <c r="V21" i="15"/>
  <c r="V19" i="15"/>
  <c r="V15" i="15"/>
  <c r="V14" i="15"/>
  <c r="V10" i="15"/>
  <c r="Q12" i="15"/>
  <c r="Q9" i="15"/>
  <c r="L21" i="15"/>
  <c r="L13" i="15"/>
  <c r="L12" i="15"/>
  <c r="L11" i="15"/>
  <c r="L9" i="15"/>
  <c r="G22" i="15"/>
  <c r="G19" i="15"/>
  <c r="G15" i="15"/>
  <c r="G14" i="15"/>
  <c r="G13" i="15"/>
  <c r="G12" i="15"/>
  <c r="G11" i="15"/>
  <c r="G10" i="15"/>
  <c r="G9" i="15"/>
  <c r="E7" i="12" l="1"/>
  <c r="L8" i="14"/>
  <c r="K8" i="14"/>
  <c r="L8" i="13"/>
  <c r="K8" i="13"/>
  <c r="N9" i="13"/>
  <c r="J21" i="13"/>
  <c r="J20" i="13"/>
  <c r="J19" i="13"/>
  <c r="J18" i="13"/>
  <c r="J14" i="13"/>
  <c r="J13" i="13"/>
  <c r="J12" i="13"/>
  <c r="J11" i="13"/>
  <c r="J10" i="13"/>
  <c r="J9" i="13"/>
  <c r="J8" i="13"/>
  <c r="F21" i="13"/>
  <c r="F20" i="13"/>
  <c r="F19" i="13"/>
  <c r="F18" i="13"/>
  <c r="F14" i="13"/>
  <c r="F13" i="13"/>
  <c r="F12" i="13"/>
  <c r="F11" i="13"/>
  <c r="F10" i="13"/>
  <c r="F9" i="13"/>
  <c r="F8" i="13"/>
  <c r="E13" i="13" l="1"/>
  <c r="R21" i="14"/>
  <c r="R20" i="14"/>
  <c r="R19" i="14"/>
  <c r="R18" i="14"/>
  <c r="R14" i="14"/>
  <c r="R13" i="14"/>
  <c r="R10" i="14"/>
  <c r="R9" i="14"/>
  <c r="N21" i="14"/>
  <c r="N18" i="14"/>
  <c r="N13" i="14"/>
  <c r="N11" i="14"/>
  <c r="N10" i="14"/>
  <c r="N9" i="14"/>
  <c r="J8" i="14" l="1"/>
  <c r="J21" i="14"/>
  <c r="J20" i="14"/>
  <c r="J19" i="14"/>
  <c r="J18" i="14"/>
  <c r="J14" i="14"/>
  <c r="J13" i="14"/>
  <c r="J12" i="14"/>
  <c r="J11" i="14"/>
  <c r="J10" i="14"/>
  <c r="J9" i="14"/>
  <c r="F21" i="14"/>
  <c r="F20" i="14"/>
  <c r="F19" i="14"/>
  <c r="F14" i="14"/>
  <c r="F13" i="14"/>
  <c r="F12" i="14"/>
  <c r="F11" i="14"/>
  <c r="F10" i="14"/>
  <c r="F9" i="14"/>
  <c r="F8" i="14"/>
  <c r="E13" i="14" l="1"/>
  <c r="E8" i="14" l="1"/>
  <c r="F20" i="11" l="1"/>
  <c r="F19" i="11"/>
  <c r="F18" i="11"/>
  <c r="F13" i="11"/>
  <c r="F9" i="11"/>
  <c r="E13" i="11"/>
  <c r="E11" i="11"/>
  <c r="E9" i="11"/>
  <c r="E8" i="11"/>
  <c r="E18" i="11"/>
  <c r="D21" i="11"/>
  <c r="D20" i="11"/>
  <c r="D18" i="11"/>
  <c r="D14" i="11"/>
  <c r="D13" i="11"/>
  <c r="D12" i="11"/>
  <c r="D11" i="11"/>
  <c r="D15" i="11" s="1"/>
  <c r="D10" i="11"/>
  <c r="D9" i="11"/>
  <c r="D8" i="11"/>
  <c r="C21" i="11"/>
  <c r="C20" i="11"/>
  <c r="C19" i="11"/>
  <c r="C18" i="11"/>
  <c r="C14" i="11"/>
  <c r="C13" i="11"/>
  <c r="C12" i="11"/>
  <c r="C11" i="11"/>
  <c r="C10" i="11"/>
  <c r="C9" i="11"/>
  <c r="C8" i="11"/>
  <c r="J20" i="11"/>
  <c r="J19" i="11"/>
  <c r="J18" i="11"/>
  <c r="J13" i="11"/>
  <c r="J9" i="11"/>
  <c r="I18" i="11"/>
  <c r="I13" i="11"/>
  <c r="I11" i="11"/>
  <c r="I9" i="11"/>
  <c r="I8" i="11"/>
  <c r="H21" i="11"/>
  <c r="H20" i="11"/>
  <c r="H18" i="11"/>
  <c r="H12" i="11"/>
  <c r="H11" i="11"/>
  <c r="H10" i="11"/>
  <c r="H9" i="11"/>
  <c r="H8" i="11"/>
  <c r="G21" i="11"/>
  <c r="G20" i="11"/>
  <c r="G19" i="11"/>
  <c r="G18" i="11"/>
  <c r="G14" i="11"/>
  <c r="G13" i="11"/>
  <c r="G12" i="11"/>
  <c r="G11" i="11"/>
  <c r="G10" i="11"/>
  <c r="G9" i="11"/>
  <c r="G8" i="11"/>
  <c r="J20" i="10"/>
  <c r="J19" i="10"/>
  <c r="J18" i="10"/>
  <c r="J13" i="10"/>
  <c r="J9" i="10"/>
  <c r="I18" i="10"/>
  <c r="I13" i="10"/>
  <c r="I11" i="10"/>
  <c r="I9" i="10"/>
  <c r="I8" i="10"/>
  <c r="H21" i="10"/>
  <c r="H20" i="10"/>
  <c r="H18" i="10"/>
  <c r="H14" i="10"/>
  <c r="H13" i="10"/>
  <c r="H12" i="10"/>
  <c r="H11" i="10"/>
  <c r="H10" i="10"/>
  <c r="H9" i="10"/>
  <c r="H8" i="10"/>
  <c r="F20" i="10"/>
  <c r="F19" i="10"/>
  <c r="F18" i="10"/>
  <c r="F13" i="10"/>
  <c r="F9" i="10"/>
  <c r="E18" i="10"/>
  <c r="E13" i="10"/>
  <c r="E11" i="10"/>
  <c r="E9" i="10"/>
  <c r="E8" i="10"/>
  <c r="D21" i="10"/>
  <c r="D20" i="10"/>
  <c r="D18" i="10"/>
  <c r="D14" i="10"/>
  <c r="D13" i="10"/>
  <c r="D12" i="10"/>
  <c r="D11" i="10"/>
  <c r="D10" i="10"/>
  <c r="D9" i="10"/>
  <c r="D8" i="10"/>
  <c r="G21" i="10"/>
  <c r="G20" i="10"/>
  <c r="G19" i="10"/>
  <c r="G18" i="10"/>
  <c r="G14" i="10"/>
  <c r="G13" i="10"/>
  <c r="G12" i="10"/>
  <c r="G11" i="10"/>
  <c r="G10" i="10"/>
  <c r="G9" i="10"/>
  <c r="G8" i="10"/>
  <c r="C21" i="10"/>
  <c r="C20" i="10"/>
  <c r="C19" i="10"/>
  <c r="C18" i="10"/>
  <c r="C14" i="10"/>
  <c r="C13" i="10"/>
  <c r="C12" i="10"/>
  <c r="C11" i="10"/>
  <c r="C10" i="10"/>
  <c r="C9" i="10"/>
  <c r="C8" i="10"/>
  <c r="I8" i="9" l="1"/>
  <c r="E8" i="9"/>
  <c r="H22" i="9"/>
  <c r="I7" i="6" l="1"/>
  <c r="J7" i="6"/>
  <c r="O8" i="2"/>
  <c r="N8" i="2"/>
  <c r="M8" i="2"/>
  <c r="K9" i="3"/>
  <c r="L8" i="4"/>
  <c r="I8" i="5"/>
  <c r="J8" i="5"/>
  <c r="M22" i="4"/>
  <c r="M8" i="4"/>
  <c r="E20" i="4"/>
  <c r="P21" i="3" l="1"/>
  <c r="P20" i="3"/>
  <c r="P19" i="3"/>
  <c r="P14" i="3"/>
  <c r="P10" i="3"/>
  <c r="L19" i="3"/>
  <c r="L14" i="3"/>
  <c r="L12" i="3"/>
  <c r="L10" i="3"/>
  <c r="L9" i="3"/>
  <c r="H22" i="3"/>
  <c r="H21" i="3"/>
  <c r="H19" i="3"/>
  <c r="H15" i="3"/>
  <c r="H14" i="3"/>
  <c r="H13" i="3"/>
  <c r="H12" i="3"/>
  <c r="H11" i="3"/>
  <c r="H10" i="3"/>
  <c r="H9" i="3"/>
  <c r="D22" i="3" l="1"/>
  <c r="D21" i="3"/>
  <c r="D20" i="3"/>
  <c r="D19" i="3"/>
  <c r="D15" i="3"/>
  <c r="D14" i="3"/>
  <c r="D13" i="3"/>
  <c r="D12" i="3"/>
  <c r="D11" i="3"/>
  <c r="D10" i="3"/>
  <c r="D9" i="3"/>
  <c r="O21" i="1" l="1"/>
  <c r="O20" i="1"/>
  <c r="O14" i="1"/>
  <c r="O12" i="1"/>
  <c r="O9" i="1"/>
  <c r="O19" i="1" l="1"/>
  <c r="O18" i="1"/>
  <c r="O13" i="1"/>
  <c r="O11" i="1"/>
  <c r="O10" i="1"/>
  <c r="O8" i="1"/>
  <c r="N21" i="1"/>
  <c r="N20" i="1"/>
  <c r="N19" i="1"/>
  <c r="N18" i="1"/>
  <c r="N14" i="1"/>
  <c r="N13" i="1"/>
  <c r="N12" i="1"/>
  <c r="N11" i="1"/>
  <c r="N10" i="1"/>
  <c r="N9" i="1"/>
  <c r="N8" i="1"/>
  <c r="K18" i="1" l="1"/>
  <c r="K13" i="1" l="1"/>
  <c r="J20" i="1"/>
  <c r="J19" i="1"/>
  <c r="J18" i="1"/>
  <c r="J13" i="1"/>
  <c r="J9" i="1"/>
  <c r="I18" i="1"/>
  <c r="I11" i="1"/>
  <c r="I9" i="1"/>
  <c r="I8" i="1"/>
  <c r="H21" i="1"/>
  <c r="H20" i="1"/>
  <c r="H14" i="1"/>
  <c r="H18" i="1"/>
  <c r="H13" i="1"/>
  <c r="H12" i="1"/>
  <c r="H11" i="1"/>
  <c r="H10" i="1"/>
  <c r="H9" i="1"/>
  <c r="H8" i="1"/>
  <c r="G21" i="1"/>
  <c r="G20" i="1"/>
  <c r="G19" i="1"/>
  <c r="G18" i="1"/>
  <c r="G14" i="1"/>
  <c r="G13" i="1"/>
  <c r="G12" i="1"/>
  <c r="G11" i="1"/>
  <c r="G10" i="1"/>
  <c r="G9" i="1"/>
  <c r="G8" i="1"/>
  <c r="P8" i="2" l="1"/>
  <c r="M8" i="14" l="1"/>
  <c r="N8" i="14" s="1"/>
  <c r="M9" i="14"/>
  <c r="M8" i="13" l="1"/>
  <c r="N8" i="13" s="1"/>
  <c r="E21" i="13" l="1"/>
  <c r="E18" i="13"/>
  <c r="L8" i="1" l="1"/>
  <c r="F14" i="8" l="1"/>
  <c r="N12" i="7"/>
  <c r="F12" i="7"/>
  <c r="P8" i="7" l="1"/>
  <c r="R21" i="12" l="1"/>
  <c r="R22" i="12" s="1"/>
  <c r="R14" i="12"/>
  <c r="Q14" i="12"/>
  <c r="Q23" i="12" s="1"/>
  <c r="Q24" i="12" s="1"/>
  <c r="R23" i="12" l="1"/>
  <c r="R24" i="12" s="1"/>
  <c r="R15" i="12"/>
  <c r="N18" i="13"/>
  <c r="N13" i="13"/>
  <c r="N10" i="13"/>
  <c r="V20" i="15" l="1"/>
  <c r="Q10" i="15"/>
  <c r="L22" i="15"/>
  <c r="L15" i="15"/>
  <c r="L14" i="15"/>
  <c r="L10" i="15"/>
  <c r="G21" i="15"/>
  <c r="G20" i="15"/>
  <c r="H14" i="11"/>
  <c r="Q21" i="14" l="1"/>
  <c r="E21" i="14"/>
  <c r="E18" i="14"/>
  <c r="F18" i="14" s="1"/>
  <c r="P15" i="3" l="1"/>
  <c r="K21" i="1" l="1"/>
  <c r="O23" i="3" l="1"/>
  <c r="Q26" i="15" l="1"/>
  <c r="Q22" i="7" l="1"/>
  <c r="Q23" i="7" s="1"/>
  <c r="P22" i="7"/>
  <c r="P23" i="7" s="1"/>
  <c r="O22" i="7"/>
  <c r="O23" i="7" s="1"/>
  <c r="M22" i="7"/>
  <c r="K22" i="7"/>
  <c r="K23" i="7" s="1"/>
  <c r="I22" i="7"/>
  <c r="I23" i="7" s="1"/>
  <c r="H22" i="7"/>
  <c r="H23" i="7" s="1"/>
  <c r="Q15" i="7"/>
  <c r="Q16" i="7" s="1"/>
  <c r="O15" i="7"/>
  <c r="O16" i="7" s="1"/>
  <c r="M15" i="7"/>
  <c r="M16" i="7" s="1"/>
  <c r="K15" i="7"/>
  <c r="K16" i="7" s="1"/>
  <c r="I15" i="7"/>
  <c r="I16" i="7" s="1"/>
  <c r="Q24" i="7" l="1"/>
  <c r="Q25" i="7" s="1"/>
  <c r="O24" i="7"/>
  <c r="O25" i="7" s="1"/>
  <c r="M24" i="7"/>
  <c r="M25" i="7" s="1"/>
  <c r="K24" i="7"/>
  <c r="K25" i="7" s="1"/>
  <c r="M23" i="7"/>
  <c r="R15" i="7"/>
  <c r="R16" i="7" s="1"/>
  <c r="P15" i="7"/>
  <c r="N15" i="7"/>
  <c r="L15" i="7"/>
  <c r="J15" i="7"/>
  <c r="J16" i="7" s="1"/>
  <c r="H15" i="7"/>
  <c r="L16" i="7" l="1"/>
  <c r="P24" i="7"/>
  <c r="P25" i="7" s="1"/>
  <c r="P16" i="7"/>
  <c r="N16" i="7"/>
  <c r="H24" i="7"/>
  <c r="H25" i="7" s="1"/>
  <c r="H16" i="7"/>
  <c r="G22" i="7"/>
  <c r="G23" i="7" s="1"/>
  <c r="G15" i="7"/>
  <c r="E15" i="7"/>
  <c r="E16" i="7" s="1"/>
  <c r="E22" i="7"/>
  <c r="E23" i="7" s="1"/>
  <c r="D22" i="7"/>
  <c r="D23" i="7" s="1"/>
  <c r="D15" i="7"/>
  <c r="D16" i="7" s="1"/>
  <c r="C22" i="7"/>
  <c r="C23" i="7" s="1"/>
  <c r="C15" i="7"/>
  <c r="C16" i="7" s="1"/>
  <c r="H26" i="8"/>
  <c r="H27" i="8" s="1"/>
  <c r="I24" i="8"/>
  <c r="I25" i="8" s="1"/>
  <c r="H24" i="8"/>
  <c r="H25" i="8" s="1"/>
  <c r="G24" i="8"/>
  <c r="G25" i="8" s="1"/>
  <c r="E24" i="8"/>
  <c r="E25" i="8" s="1"/>
  <c r="C24" i="8"/>
  <c r="C25" i="8" s="1"/>
  <c r="J17" i="8"/>
  <c r="J18" i="8" s="1"/>
  <c r="I17" i="8"/>
  <c r="I18" i="8" s="1"/>
  <c r="H17" i="8"/>
  <c r="H18" i="8" s="1"/>
  <c r="G17" i="8"/>
  <c r="F17" i="8"/>
  <c r="F18" i="8" s="1"/>
  <c r="E17" i="8"/>
  <c r="D17" i="8"/>
  <c r="D18" i="8" s="1"/>
  <c r="C17" i="8"/>
  <c r="C18" i="8" s="1"/>
  <c r="G26" i="8" l="1"/>
  <c r="G27" i="8" s="1"/>
  <c r="G18" i="8"/>
  <c r="E26" i="8"/>
  <c r="E27" i="8" s="1"/>
  <c r="E18" i="8"/>
  <c r="G24" i="7"/>
  <c r="G25" i="7" s="1"/>
  <c r="G16" i="7"/>
  <c r="I26" i="8"/>
  <c r="I27" i="8" s="1"/>
  <c r="D24" i="7"/>
  <c r="D25" i="7" s="1"/>
  <c r="E24" i="7"/>
  <c r="E25" i="7" s="1"/>
  <c r="C24" i="7"/>
  <c r="C25" i="7" s="1"/>
  <c r="C26" i="8"/>
  <c r="C27" i="8" s="1"/>
  <c r="D24" i="8"/>
  <c r="D25" i="8" s="1"/>
  <c r="F24" i="8"/>
  <c r="F25" i="8" s="1"/>
  <c r="J24" i="8"/>
  <c r="J25" i="8" s="1"/>
  <c r="R22" i="7"/>
  <c r="N22" i="7"/>
  <c r="L22" i="7"/>
  <c r="J22" i="7"/>
  <c r="F22" i="7"/>
  <c r="F23" i="7" s="1"/>
  <c r="D26" i="8" l="1"/>
  <c r="D27" i="8" s="1"/>
  <c r="J26" i="8"/>
  <c r="J27" i="8" s="1"/>
  <c r="F26" i="8"/>
  <c r="F27" i="8" s="1"/>
  <c r="J23" i="7"/>
  <c r="J24" i="7"/>
  <c r="J25" i="7" s="1"/>
  <c r="I24" i="7"/>
  <c r="I25" i="7" s="1"/>
  <c r="L23" i="7"/>
  <c r="L24" i="7"/>
  <c r="L25" i="7" s="1"/>
  <c r="R23" i="7"/>
  <c r="R24" i="7"/>
  <c r="R25" i="7" s="1"/>
  <c r="N23" i="7"/>
  <c r="N24" i="7"/>
  <c r="N25" i="7" s="1"/>
  <c r="Q19" i="14" l="1"/>
  <c r="Q20" i="14"/>
  <c r="Q18" i="14"/>
  <c r="Q14" i="14"/>
  <c r="Q13" i="14"/>
  <c r="Q10" i="14"/>
  <c r="Q9" i="14"/>
  <c r="M21" i="14"/>
  <c r="M18" i="14"/>
  <c r="M13" i="14"/>
  <c r="M11" i="14"/>
  <c r="M10" i="14"/>
  <c r="I22" i="14"/>
  <c r="I23" i="14" s="1"/>
  <c r="I15" i="14"/>
  <c r="I16" i="14" s="1"/>
  <c r="E20" i="14"/>
  <c r="E19" i="14"/>
  <c r="E14" i="14"/>
  <c r="E12" i="14"/>
  <c r="E11" i="14"/>
  <c r="E10" i="14"/>
  <c r="E9" i="14"/>
  <c r="J22" i="14" l="1"/>
  <c r="J23" i="14" s="1"/>
  <c r="J15" i="14"/>
  <c r="J16" i="14" s="1"/>
  <c r="Q22" i="14"/>
  <c r="Q23" i="14" s="1"/>
  <c r="R22" i="14"/>
  <c r="R23" i="14" s="1"/>
  <c r="Q15" i="14"/>
  <c r="R15" i="14"/>
  <c r="N22" i="14"/>
  <c r="N23" i="14" s="1"/>
  <c r="M22" i="14"/>
  <c r="M23" i="14" s="1"/>
  <c r="N15" i="14"/>
  <c r="F22" i="14"/>
  <c r="F23" i="14" s="1"/>
  <c r="F15" i="14"/>
  <c r="M15" i="14"/>
  <c r="M16" i="14" s="1"/>
  <c r="E15" i="14"/>
  <c r="E16" i="14" s="1"/>
  <c r="Q16" i="14"/>
  <c r="Q24" i="14"/>
  <c r="Q25" i="14" s="1"/>
  <c r="E22" i="14"/>
  <c r="E23" i="14" s="1"/>
  <c r="I24" i="14"/>
  <c r="I25" i="14" s="1"/>
  <c r="J24" i="14" l="1"/>
  <c r="J25" i="14" s="1"/>
  <c r="F24" i="14"/>
  <c r="F25" i="14" s="1"/>
  <c r="R16" i="14"/>
  <c r="R24" i="14"/>
  <c r="R25" i="14" s="1"/>
  <c r="N16" i="14"/>
  <c r="N24" i="14"/>
  <c r="N25" i="14" s="1"/>
  <c r="M24" i="14"/>
  <c r="M25" i="14" s="1"/>
  <c r="F16" i="14"/>
  <c r="E24" i="14"/>
  <c r="E25" i="14" s="1"/>
  <c r="P15" i="14" l="1"/>
  <c r="P16" i="14" s="1"/>
  <c r="O15" i="14"/>
  <c r="P22" i="14"/>
  <c r="P23" i="14" s="1"/>
  <c r="O22" i="14"/>
  <c r="O23" i="14" s="1"/>
  <c r="L22" i="14"/>
  <c r="L23" i="14" s="1"/>
  <c r="K22" i="14"/>
  <c r="K23" i="14" s="1"/>
  <c r="L15" i="14"/>
  <c r="K15" i="14"/>
  <c r="H22" i="14"/>
  <c r="H23" i="14" s="1"/>
  <c r="G22" i="14"/>
  <c r="G23" i="14" s="1"/>
  <c r="H15" i="14"/>
  <c r="H16" i="14" s="1"/>
  <c r="G15" i="14"/>
  <c r="D22" i="14"/>
  <c r="D23" i="14" s="1"/>
  <c r="C22" i="14"/>
  <c r="C23" i="14" s="1"/>
  <c r="D15" i="14"/>
  <c r="D16" i="14" s="1"/>
  <c r="C15" i="14"/>
  <c r="O24" i="14" l="1"/>
  <c r="O25" i="14" s="1"/>
  <c r="G24" i="14"/>
  <c r="G25" i="14" s="1"/>
  <c r="P24" i="14"/>
  <c r="P25" i="14" s="1"/>
  <c r="C24" i="14"/>
  <c r="C25" i="14" s="1"/>
  <c r="K24" i="14"/>
  <c r="K25" i="14" s="1"/>
  <c r="L24" i="14"/>
  <c r="L25" i="14" s="1"/>
  <c r="D24" i="14"/>
  <c r="D25" i="14" s="1"/>
  <c r="H24" i="14"/>
  <c r="H25" i="14" s="1"/>
  <c r="L16" i="14"/>
  <c r="O16" i="14"/>
  <c r="C16" i="14"/>
  <c r="G16" i="14"/>
  <c r="K16" i="14"/>
  <c r="J22" i="13"/>
  <c r="J23" i="13" s="1"/>
  <c r="J15" i="13"/>
  <c r="J16" i="13" s="1"/>
  <c r="Q13" i="13"/>
  <c r="R13" i="13" s="1"/>
  <c r="E20" i="13"/>
  <c r="E19" i="13"/>
  <c r="Q21" i="13"/>
  <c r="R21" i="13" s="1"/>
  <c r="Q20" i="13"/>
  <c r="R20" i="13" s="1"/>
  <c r="Q19" i="13"/>
  <c r="R19" i="13" s="1"/>
  <c r="Q18" i="13"/>
  <c r="R18" i="13" s="1"/>
  <c r="Q14" i="13"/>
  <c r="R14" i="13" s="1"/>
  <c r="Q10" i="13"/>
  <c r="R10" i="13" s="1"/>
  <c r="Q9" i="13"/>
  <c r="R9" i="13" s="1"/>
  <c r="P22" i="13"/>
  <c r="P23" i="13" s="1"/>
  <c r="O22" i="13"/>
  <c r="O23" i="13" s="1"/>
  <c r="P15" i="13"/>
  <c r="P16" i="13" s="1"/>
  <c r="O15" i="13"/>
  <c r="O16" i="13" s="1"/>
  <c r="M21" i="13"/>
  <c r="M11" i="13"/>
  <c r="N11" i="13" s="1"/>
  <c r="I22" i="13"/>
  <c r="I15" i="13"/>
  <c r="I16" i="13" s="1"/>
  <c r="D22" i="13"/>
  <c r="D23" i="13" s="1"/>
  <c r="D15" i="13"/>
  <c r="D16" i="13" s="1"/>
  <c r="C15" i="13"/>
  <c r="C16" i="13" s="1"/>
  <c r="C22" i="13"/>
  <c r="E14" i="13"/>
  <c r="E12" i="13"/>
  <c r="E11" i="13"/>
  <c r="E10" i="13"/>
  <c r="E9" i="13"/>
  <c r="E8" i="13"/>
  <c r="M22" i="13" l="1"/>
  <c r="N21" i="13"/>
  <c r="N22" i="13" s="1"/>
  <c r="J24" i="13"/>
  <c r="J25" i="13" s="1"/>
  <c r="M23" i="13"/>
  <c r="F22" i="13"/>
  <c r="F23" i="13" s="1"/>
  <c r="F15" i="13"/>
  <c r="C24" i="13"/>
  <c r="C25" i="13" s="1"/>
  <c r="Q22" i="13"/>
  <c r="Q23" i="13" s="1"/>
  <c r="R22" i="13"/>
  <c r="R23" i="13" s="1"/>
  <c r="I24" i="13"/>
  <c r="I25" i="13" s="1"/>
  <c r="E15" i="13"/>
  <c r="E16" i="13" s="1"/>
  <c r="Q15" i="13"/>
  <c r="Q24" i="13" s="1"/>
  <c r="Q25" i="13" s="1"/>
  <c r="R15" i="13"/>
  <c r="R16" i="13" s="1"/>
  <c r="E22" i="13"/>
  <c r="E23" i="13" s="1"/>
  <c r="C23" i="13"/>
  <c r="D24" i="13"/>
  <c r="D25" i="13" s="1"/>
  <c r="O24" i="13"/>
  <c r="O25" i="13" s="1"/>
  <c r="P24" i="13"/>
  <c r="P25" i="13" s="1"/>
  <c r="I23" i="13"/>
  <c r="F24" i="13" l="1"/>
  <c r="F25" i="13" s="1"/>
  <c r="F16" i="13"/>
  <c r="Q16" i="13"/>
  <c r="N23" i="13"/>
  <c r="E24" i="13"/>
  <c r="E25" i="13" s="1"/>
  <c r="R24" i="13"/>
  <c r="R25" i="13" s="1"/>
  <c r="L15" i="13"/>
  <c r="L22" i="13"/>
  <c r="L23" i="13" s="1"/>
  <c r="K22" i="13"/>
  <c r="K23" i="13" s="1"/>
  <c r="H22" i="13"/>
  <c r="H23" i="13" s="1"/>
  <c r="G22" i="13"/>
  <c r="G23" i="13" s="1"/>
  <c r="H15" i="13"/>
  <c r="H16" i="13" s="1"/>
  <c r="G15" i="13"/>
  <c r="G16" i="13" s="1"/>
  <c r="M15" i="13" l="1"/>
  <c r="N15" i="13"/>
  <c r="G24" i="13"/>
  <c r="G25" i="13" s="1"/>
  <c r="K15" i="13"/>
  <c r="K16" i="13" s="1"/>
  <c r="H24" i="13"/>
  <c r="H25" i="13" s="1"/>
  <c r="L24" i="13"/>
  <c r="L25" i="13" s="1"/>
  <c r="L16" i="13"/>
  <c r="V22" i="15"/>
  <c r="V11" i="15"/>
  <c r="U23" i="15"/>
  <c r="U24" i="15" s="1"/>
  <c r="T23" i="15"/>
  <c r="T24" i="15" s="1"/>
  <c r="S23" i="15"/>
  <c r="S24" i="15" s="1"/>
  <c r="U16" i="15"/>
  <c r="T16" i="15"/>
  <c r="S16" i="15"/>
  <c r="S17" i="15" s="1"/>
  <c r="R23" i="15"/>
  <c r="R24" i="15" s="1"/>
  <c r="R16" i="15"/>
  <c r="Q22" i="15"/>
  <c r="Q19" i="15"/>
  <c r="Q23" i="15" s="1"/>
  <c r="Q14" i="15"/>
  <c r="Q16" i="15"/>
  <c r="Q17" i="15" s="1"/>
  <c r="P23" i="15"/>
  <c r="P24" i="15" s="1"/>
  <c r="O23" i="15"/>
  <c r="O24" i="15" s="1"/>
  <c r="N23" i="15"/>
  <c r="N24" i="15" s="1"/>
  <c r="P16" i="15"/>
  <c r="P25" i="15" s="1"/>
  <c r="P26" i="15" s="1"/>
  <c r="O16" i="15"/>
  <c r="O17" i="15" s="1"/>
  <c r="N16" i="15"/>
  <c r="N17" i="15" s="1"/>
  <c r="M23" i="15"/>
  <c r="M24" i="15" s="1"/>
  <c r="M16" i="15"/>
  <c r="L20" i="15"/>
  <c r="L19" i="15"/>
  <c r="L16" i="15"/>
  <c r="L17" i="15" s="1"/>
  <c r="K23" i="15"/>
  <c r="K24" i="15" s="1"/>
  <c r="J23" i="15"/>
  <c r="J24" i="15" s="1"/>
  <c r="I23" i="15"/>
  <c r="I24" i="15" s="1"/>
  <c r="K16" i="15"/>
  <c r="K17" i="15" s="1"/>
  <c r="J16" i="15"/>
  <c r="J17" i="15" s="1"/>
  <c r="I16" i="15"/>
  <c r="H23" i="15"/>
  <c r="H24" i="15" s="1"/>
  <c r="H16" i="15"/>
  <c r="F23" i="15"/>
  <c r="F24" i="15" s="1"/>
  <c r="E23" i="15"/>
  <c r="E24" i="15" s="1"/>
  <c r="F16" i="15"/>
  <c r="E16" i="15"/>
  <c r="E17" i="15" s="1"/>
  <c r="D23" i="15"/>
  <c r="D24" i="15" s="1"/>
  <c r="D16" i="15"/>
  <c r="D17" i="15" s="1"/>
  <c r="C23" i="15"/>
  <c r="C24" i="15" s="1"/>
  <c r="C16" i="15"/>
  <c r="C17" i="15" s="1"/>
  <c r="U25" i="15" l="1"/>
  <c r="U26" i="15" s="1"/>
  <c r="H25" i="15"/>
  <c r="H26" i="15" s="1"/>
  <c r="V23" i="15"/>
  <c r="V24" i="15" s="1"/>
  <c r="R17" i="15"/>
  <c r="R25" i="15"/>
  <c r="R26" i="15" s="1"/>
  <c r="N16" i="13"/>
  <c r="N24" i="13"/>
  <c r="N25" i="13" s="1"/>
  <c r="M16" i="13"/>
  <c r="M24" i="13"/>
  <c r="M25" i="13" s="1"/>
  <c r="T25" i="15"/>
  <c r="T26" i="15" s="1"/>
  <c r="U17" i="15"/>
  <c r="T17" i="15"/>
  <c r="V16" i="15"/>
  <c r="V17" i="15" s="1"/>
  <c r="S25" i="15"/>
  <c r="S26" i="15" s="1"/>
  <c r="N25" i="15"/>
  <c r="N26" i="15" s="1"/>
  <c r="M25" i="15"/>
  <c r="M26" i="15" s="1"/>
  <c r="J25" i="15"/>
  <c r="J26" i="15" s="1"/>
  <c r="K25" i="15"/>
  <c r="K26" i="15" s="1"/>
  <c r="L23" i="15"/>
  <c r="L24" i="15" s="1"/>
  <c r="I25" i="15"/>
  <c r="I26" i="15" s="1"/>
  <c r="I17" i="15"/>
  <c r="H17" i="15"/>
  <c r="L25" i="15"/>
  <c r="L26" i="15" s="1"/>
  <c r="G23" i="15"/>
  <c r="G24" i="15" s="1"/>
  <c r="D25" i="15"/>
  <c r="D26" i="15" s="1"/>
  <c r="G16" i="15"/>
  <c r="G17" i="15" s="1"/>
  <c r="F25" i="15"/>
  <c r="F26" i="15" s="1"/>
  <c r="E25" i="15"/>
  <c r="E26" i="15" s="1"/>
  <c r="F17" i="15"/>
  <c r="C25" i="15"/>
  <c r="C26" i="15" s="1"/>
  <c r="K24" i="13"/>
  <c r="K25" i="13" s="1"/>
  <c r="P17" i="15"/>
  <c r="O25" i="15"/>
  <c r="O26" i="15" s="1"/>
  <c r="M17" i="15"/>
  <c r="V25" i="15" l="1"/>
  <c r="V26" i="15" s="1"/>
  <c r="G25" i="15"/>
  <c r="G26" i="15" s="1"/>
  <c r="H22" i="11"/>
  <c r="H23" i="11" s="1"/>
  <c r="J22" i="11"/>
  <c r="J23" i="11" s="1"/>
  <c r="I22" i="11"/>
  <c r="I23" i="11" s="1"/>
  <c r="G22" i="11"/>
  <c r="G23" i="11" s="1"/>
  <c r="J15" i="11"/>
  <c r="I15" i="11"/>
  <c r="H15" i="11"/>
  <c r="G15" i="11"/>
  <c r="C15" i="10"/>
  <c r="F22" i="11" l="1"/>
  <c r="F23" i="11" s="1"/>
  <c r="E15" i="11"/>
  <c r="E16" i="11" s="1"/>
  <c r="F15" i="11"/>
  <c r="E22" i="11"/>
  <c r="E23" i="11" s="1"/>
  <c r="J24" i="11"/>
  <c r="J25" i="11" s="1"/>
  <c r="J16" i="11"/>
  <c r="H24" i="11"/>
  <c r="H25" i="11" s="1"/>
  <c r="H16" i="11"/>
  <c r="I16" i="11"/>
  <c r="I24" i="11"/>
  <c r="I25" i="11" s="1"/>
  <c r="G24" i="11"/>
  <c r="G25" i="11" s="1"/>
  <c r="G16" i="11"/>
  <c r="I22" i="10"/>
  <c r="I23" i="10" s="1"/>
  <c r="F15" i="10"/>
  <c r="F16" i="10" s="1"/>
  <c r="H22" i="10"/>
  <c r="H23" i="10" s="1"/>
  <c r="I15" i="10"/>
  <c r="J15" i="10"/>
  <c r="J16" i="10" s="1"/>
  <c r="J22" i="10"/>
  <c r="J23" i="10" s="1"/>
  <c r="D22" i="11"/>
  <c r="D23" i="11" s="1"/>
  <c r="D16" i="11"/>
  <c r="C22" i="11"/>
  <c r="C23" i="11" s="1"/>
  <c r="C15" i="11"/>
  <c r="G22" i="10"/>
  <c r="G23" i="10" s="1"/>
  <c r="H15" i="10"/>
  <c r="H16" i="10" s="1"/>
  <c r="D22" i="10"/>
  <c r="D23" i="10" s="1"/>
  <c r="E15" i="10"/>
  <c r="E16" i="10" s="1"/>
  <c r="F22" i="10"/>
  <c r="F23" i="10" s="1"/>
  <c r="G15" i="10"/>
  <c r="G16" i="10" s="1"/>
  <c r="C22" i="10"/>
  <c r="C23" i="10" s="1"/>
  <c r="D15" i="10"/>
  <c r="E22" i="10"/>
  <c r="E23" i="10" s="1"/>
  <c r="C16" i="10"/>
  <c r="C24" i="10"/>
  <c r="C25" i="10" s="1"/>
  <c r="N20" i="6"/>
  <c r="N19" i="6"/>
  <c r="N18" i="6"/>
  <c r="N17" i="6"/>
  <c r="N13" i="6"/>
  <c r="N12" i="6"/>
  <c r="N9" i="6"/>
  <c r="N8" i="6"/>
  <c r="M14" i="6"/>
  <c r="M15" i="6" s="1"/>
  <c r="M21" i="6"/>
  <c r="K7" i="6"/>
  <c r="K20" i="6"/>
  <c r="K17" i="6"/>
  <c r="K12" i="6"/>
  <c r="K10" i="6"/>
  <c r="K9" i="6"/>
  <c r="K8" i="6"/>
  <c r="J21" i="6"/>
  <c r="J22" i="6" s="1"/>
  <c r="H20" i="6"/>
  <c r="H19" i="6"/>
  <c r="H17" i="6"/>
  <c r="H13" i="6"/>
  <c r="H12" i="6"/>
  <c r="H11" i="6"/>
  <c r="H10" i="6"/>
  <c r="H9" i="6"/>
  <c r="H8" i="6"/>
  <c r="H7" i="6"/>
  <c r="G14" i="6"/>
  <c r="G21" i="6"/>
  <c r="G22" i="6" s="1"/>
  <c r="E20" i="6"/>
  <c r="E19" i="6"/>
  <c r="E18" i="6"/>
  <c r="E17" i="6"/>
  <c r="E13" i="6"/>
  <c r="E12" i="6"/>
  <c r="E11" i="6"/>
  <c r="E10" i="6"/>
  <c r="E9" i="6"/>
  <c r="E8" i="6"/>
  <c r="E7" i="6"/>
  <c r="D14" i="6"/>
  <c r="D23" i="6" s="1"/>
  <c r="D24" i="6" s="1"/>
  <c r="D21" i="6"/>
  <c r="D22" i="6" s="1"/>
  <c r="F24" i="11" l="1"/>
  <c r="F25" i="11" s="1"/>
  <c r="C24" i="11"/>
  <c r="C25" i="11" s="1"/>
  <c r="E24" i="11"/>
  <c r="E25" i="11" s="1"/>
  <c r="F16" i="11"/>
  <c r="D24" i="11"/>
  <c r="D25" i="11" s="1"/>
  <c r="I24" i="10"/>
  <c r="I25" i="10" s="1"/>
  <c r="H24" i="10"/>
  <c r="H25" i="10" s="1"/>
  <c r="D24" i="10"/>
  <c r="D25" i="10" s="1"/>
  <c r="I16" i="10"/>
  <c r="E24" i="10"/>
  <c r="E25" i="10" s="1"/>
  <c r="M23" i="6"/>
  <c r="M24" i="6" s="1"/>
  <c r="G23" i="6"/>
  <c r="G24" i="6" s="1"/>
  <c r="J24" i="10"/>
  <c r="J25" i="10" s="1"/>
  <c r="D16" i="10"/>
  <c r="M22" i="6"/>
  <c r="N21" i="6"/>
  <c r="N22" i="6" s="1"/>
  <c r="N14" i="6"/>
  <c r="N15" i="6" s="1"/>
  <c r="K21" i="6"/>
  <c r="K22" i="6" s="1"/>
  <c r="K14" i="6"/>
  <c r="H21" i="6"/>
  <c r="H22" i="6" s="1"/>
  <c r="H14" i="6"/>
  <c r="E21" i="6"/>
  <c r="E22" i="6" s="1"/>
  <c r="E14" i="6"/>
  <c r="E15" i="6" s="1"/>
  <c r="G15" i="6"/>
  <c r="D15" i="6"/>
  <c r="C16" i="11"/>
  <c r="G24" i="10"/>
  <c r="G25" i="10" s="1"/>
  <c r="F24" i="10"/>
  <c r="F25" i="10" s="1"/>
  <c r="J14" i="6"/>
  <c r="J15" i="9"/>
  <c r="J16" i="9" s="1"/>
  <c r="J22" i="9"/>
  <c r="J23" i="9" s="1"/>
  <c r="F22" i="9"/>
  <c r="F23" i="9" s="1"/>
  <c r="F15" i="9"/>
  <c r="F16" i="9" s="1"/>
  <c r="L21" i="6"/>
  <c r="L22" i="6" s="1"/>
  <c r="L14" i="6"/>
  <c r="L15" i="6" s="1"/>
  <c r="I15" i="9"/>
  <c r="I22" i="9"/>
  <c r="I23" i="9" s="1"/>
  <c r="E22" i="9"/>
  <c r="E23" i="9" s="1"/>
  <c r="E15" i="9"/>
  <c r="E16" i="9" s="1"/>
  <c r="I21" i="6"/>
  <c r="I22" i="6" s="1"/>
  <c r="I14" i="6"/>
  <c r="H23" i="9"/>
  <c r="H15" i="9"/>
  <c r="D15" i="9"/>
  <c r="D22" i="9"/>
  <c r="D23" i="9" s="1"/>
  <c r="F21" i="6"/>
  <c r="F22" i="6" s="1"/>
  <c r="F14" i="6"/>
  <c r="F15" i="6" s="1"/>
  <c r="G22" i="9"/>
  <c r="G23" i="9" s="1"/>
  <c r="G15" i="9"/>
  <c r="C22" i="9"/>
  <c r="C23" i="9" s="1"/>
  <c r="C15" i="9"/>
  <c r="H23" i="6" l="1"/>
  <c r="H24" i="6" s="1"/>
  <c r="C24" i="9"/>
  <c r="C25" i="9" s="1"/>
  <c r="G24" i="9"/>
  <c r="G25" i="9" s="1"/>
  <c r="E23" i="6"/>
  <c r="E24" i="6" s="1"/>
  <c r="I23" i="6"/>
  <c r="I24" i="6" s="1"/>
  <c r="N23" i="6"/>
  <c r="N24" i="6" s="1"/>
  <c r="H15" i="6"/>
  <c r="F24" i="9"/>
  <c r="F25" i="9" s="1"/>
  <c r="L23" i="6"/>
  <c r="L24" i="6" s="1"/>
  <c r="I24" i="9"/>
  <c r="I25" i="9" s="1"/>
  <c r="I16" i="9"/>
  <c r="E24" i="9"/>
  <c r="E25" i="9" s="1"/>
  <c r="I15" i="6"/>
  <c r="H24" i="9"/>
  <c r="H25" i="9" s="1"/>
  <c r="H16" i="9"/>
  <c r="D24" i="9"/>
  <c r="D25" i="9" s="1"/>
  <c r="D16" i="9"/>
  <c r="F23" i="6"/>
  <c r="F24" i="6" s="1"/>
  <c r="G16" i="9"/>
  <c r="C16" i="9"/>
  <c r="J23" i="6"/>
  <c r="J24" i="6" s="1"/>
  <c r="J15" i="6"/>
  <c r="J24" i="9"/>
  <c r="J25" i="9" s="1"/>
  <c r="C21" i="6"/>
  <c r="C22" i="6" s="1"/>
  <c r="C14" i="6"/>
  <c r="C23" i="6" l="1"/>
  <c r="C24" i="6" s="1"/>
  <c r="C15" i="6"/>
  <c r="K23" i="6"/>
  <c r="K24" i="6" s="1"/>
  <c r="K15" i="6"/>
  <c r="F21" i="12"/>
  <c r="F22" i="12" s="1"/>
  <c r="F14" i="12"/>
  <c r="F15" i="12" s="1"/>
  <c r="E21" i="12"/>
  <c r="E22" i="12" s="1"/>
  <c r="E14" i="12"/>
  <c r="E15" i="12" s="1"/>
  <c r="P14" i="12"/>
  <c r="P21" i="12"/>
  <c r="P22" i="12" s="1"/>
  <c r="L14" i="12"/>
  <c r="L21" i="12"/>
  <c r="L22" i="12" s="1"/>
  <c r="H14" i="12"/>
  <c r="H21" i="12"/>
  <c r="H22" i="12" s="1"/>
  <c r="D14" i="12"/>
  <c r="D15" i="12" s="1"/>
  <c r="D21" i="12"/>
  <c r="D22" i="12" s="1"/>
  <c r="O14" i="12"/>
  <c r="O21" i="12"/>
  <c r="O22" i="12" s="1"/>
  <c r="K21" i="12"/>
  <c r="K22" i="12" s="1"/>
  <c r="K14" i="12"/>
  <c r="G21" i="12"/>
  <c r="G22" i="12" s="1"/>
  <c r="G14" i="12"/>
  <c r="C21" i="12"/>
  <c r="C22" i="12" s="1"/>
  <c r="C14" i="12"/>
  <c r="C15" i="12" s="1"/>
  <c r="F23" i="12" l="1"/>
  <c r="F24" i="12" s="1"/>
  <c r="P23" i="12"/>
  <c r="P24" i="12" s="1"/>
  <c r="P15" i="12"/>
  <c r="L23" i="12"/>
  <c r="L24" i="12" s="1"/>
  <c r="L15" i="12"/>
  <c r="H23" i="12"/>
  <c r="H24" i="12" s="1"/>
  <c r="H15" i="12"/>
  <c r="D23" i="12"/>
  <c r="D24" i="12" s="1"/>
  <c r="O23" i="12"/>
  <c r="O24" i="12" s="1"/>
  <c r="O15" i="12"/>
  <c r="K23" i="12"/>
  <c r="K24" i="12" s="1"/>
  <c r="K15" i="12"/>
  <c r="G23" i="12"/>
  <c r="G24" i="12" s="1"/>
  <c r="G15" i="12"/>
  <c r="C23" i="12"/>
  <c r="C24" i="12" s="1"/>
  <c r="E23" i="12"/>
  <c r="E24" i="12" s="1"/>
  <c r="Q21" i="4"/>
  <c r="Q20" i="4"/>
  <c r="Q19" i="4"/>
  <c r="Q18" i="4"/>
  <c r="Q14" i="4"/>
  <c r="Q13" i="4"/>
  <c r="Q10" i="4"/>
  <c r="Q9" i="4"/>
  <c r="N21" i="5"/>
  <c r="N20" i="5"/>
  <c r="N19" i="5"/>
  <c r="N18" i="5"/>
  <c r="N14" i="5"/>
  <c r="N13" i="5"/>
  <c r="N10" i="5"/>
  <c r="N9" i="5"/>
  <c r="L15" i="5"/>
  <c r="M15" i="5"/>
  <c r="M16" i="5" s="1"/>
  <c r="M22" i="5"/>
  <c r="M23" i="5" s="1"/>
  <c r="P22" i="4"/>
  <c r="P23" i="4" s="1"/>
  <c r="P15" i="4"/>
  <c r="P16" i="4" s="1"/>
  <c r="K21" i="5"/>
  <c r="K18" i="5"/>
  <c r="K22" i="5" s="1"/>
  <c r="K23" i="5" s="1"/>
  <c r="K13" i="5"/>
  <c r="K11" i="5"/>
  <c r="K10" i="5"/>
  <c r="K9" i="5"/>
  <c r="I15" i="5"/>
  <c r="I16" i="5" s="1"/>
  <c r="O22" i="4"/>
  <c r="O23" i="4" s="1"/>
  <c r="O15" i="4"/>
  <c r="L22" i="5"/>
  <c r="L23" i="5" s="1"/>
  <c r="N21" i="4"/>
  <c r="N18" i="4"/>
  <c r="N13" i="4"/>
  <c r="N11" i="4"/>
  <c r="N10" i="4"/>
  <c r="N9" i="4"/>
  <c r="M23" i="4"/>
  <c r="J22" i="5"/>
  <c r="J23" i="5" s="1"/>
  <c r="J15" i="5"/>
  <c r="M15" i="4"/>
  <c r="M16" i="4" s="1"/>
  <c r="L22" i="4"/>
  <c r="L23" i="4" s="1"/>
  <c r="I22" i="5"/>
  <c r="I23" i="5" s="1"/>
  <c r="N8" i="4"/>
  <c r="H21" i="5"/>
  <c r="H20" i="5"/>
  <c r="H19" i="5"/>
  <c r="H18" i="5"/>
  <c r="H14" i="5"/>
  <c r="H13" i="5"/>
  <c r="H12" i="5"/>
  <c r="H11" i="5"/>
  <c r="H10" i="5"/>
  <c r="H9" i="5"/>
  <c r="H8" i="5"/>
  <c r="K21" i="4"/>
  <c r="K20" i="4"/>
  <c r="K19" i="4"/>
  <c r="K18" i="4"/>
  <c r="K14" i="4"/>
  <c r="K13" i="4"/>
  <c r="K12" i="4"/>
  <c r="K11" i="4"/>
  <c r="K10" i="4"/>
  <c r="K9" i="4"/>
  <c r="K8" i="4"/>
  <c r="G15" i="5"/>
  <c r="G16" i="5" s="1"/>
  <c r="G22" i="5"/>
  <c r="G23" i="5" s="1"/>
  <c r="J15" i="4"/>
  <c r="J16" i="4" s="1"/>
  <c r="J22" i="4"/>
  <c r="J23" i="4" s="1"/>
  <c r="F15" i="5"/>
  <c r="F22" i="5"/>
  <c r="F23" i="5" s="1"/>
  <c r="I15" i="4"/>
  <c r="I16" i="4" s="1"/>
  <c r="I22" i="4"/>
  <c r="I23" i="4" s="1"/>
  <c r="D15" i="5"/>
  <c r="F15" i="4"/>
  <c r="F16" i="4" s="1"/>
  <c r="E21" i="5"/>
  <c r="E20" i="5"/>
  <c r="E19" i="5"/>
  <c r="E18" i="5"/>
  <c r="E14" i="5"/>
  <c r="E13" i="5"/>
  <c r="E12" i="5"/>
  <c r="E11" i="5"/>
  <c r="E10" i="5"/>
  <c r="E9" i="5"/>
  <c r="D22" i="5"/>
  <c r="D23" i="5" s="1"/>
  <c r="C22" i="5"/>
  <c r="C23" i="5" s="1"/>
  <c r="E21" i="4"/>
  <c r="E19" i="4"/>
  <c r="E18" i="4"/>
  <c r="E14" i="4"/>
  <c r="E13" i="4"/>
  <c r="E12" i="4"/>
  <c r="E11" i="4"/>
  <c r="E10" i="4"/>
  <c r="E9" i="4"/>
  <c r="E8" i="4"/>
  <c r="G21" i="4"/>
  <c r="H21" i="4" s="1"/>
  <c r="G20" i="4"/>
  <c r="H20" i="4" s="1"/>
  <c r="G19" i="4"/>
  <c r="H19" i="4" s="1"/>
  <c r="G18" i="4"/>
  <c r="H18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H9" i="4" s="1"/>
  <c r="F22" i="4"/>
  <c r="F23" i="4" s="1"/>
  <c r="D15" i="4"/>
  <c r="D16" i="4" s="1"/>
  <c r="D22" i="4"/>
  <c r="D23" i="4" s="1"/>
  <c r="C15" i="4"/>
  <c r="C16" i="4" s="1"/>
  <c r="C22" i="4"/>
  <c r="C23" i="4" s="1"/>
  <c r="L24" i="5" l="1"/>
  <c r="L25" i="5" s="1"/>
  <c r="L16" i="5"/>
  <c r="F24" i="5"/>
  <c r="F25" i="5" s="1"/>
  <c r="F16" i="5"/>
  <c r="J24" i="5"/>
  <c r="J25" i="5" s="1"/>
  <c r="J16" i="5"/>
  <c r="D24" i="5"/>
  <c r="D25" i="5" s="1"/>
  <c r="D16" i="5"/>
  <c r="Q22" i="4"/>
  <c r="Q23" i="4" s="1"/>
  <c r="O24" i="4"/>
  <c r="O25" i="4" s="1"/>
  <c r="O16" i="4"/>
  <c r="Q15" i="4"/>
  <c r="Q16" i="4" s="1"/>
  <c r="G8" i="4"/>
  <c r="G15" i="4" s="1"/>
  <c r="G16" i="4" s="1"/>
  <c r="I24" i="4"/>
  <c r="I25" i="4" s="1"/>
  <c r="K22" i="4"/>
  <c r="K23" i="4" s="1"/>
  <c r="J24" i="4"/>
  <c r="J25" i="4" s="1"/>
  <c r="L15" i="4"/>
  <c r="N15" i="4"/>
  <c r="N16" i="4" s="1"/>
  <c r="M24" i="4"/>
  <c r="M25" i="4" s="1"/>
  <c r="N22" i="4"/>
  <c r="N23" i="4" s="1"/>
  <c r="K15" i="4"/>
  <c r="I24" i="5"/>
  <c r="I25" i="5" s="1"/>
  <c r="N15" i="5"/>
  <c r="N16" i="5" s="1"/>
  <c r="N22" i="5"/>
  <c r="N23" i="5" s="1"/>
  <c r="E22" i="5"/>
  <c r="E23" i="5" s="1"/>
  <c r="H15" i="5"/>
  <c r="H16" i="5" s="1"/>
  <c r="G24" i="5"/>
  <c r="G25" i="5" s="1"/>
  <c r="H22" i="5"/>
  <c r="H23" i="5" s="1"/>
  <c r="H22" i="4"/>
  <c r="H23" i="4" s="1"/>
  <c r="D24" i="4"/>
  <c r="D25" i="4" s="1"/>
  <c r="P24" i="4"/>
  <c r="P25" i="4" s="1"/>
  <c r="F24" i="4"/>
  <c r="F25" i="4" s="1"/>
  <c r="E22" i="4"/>
  <c r="E23" i="4" s="1"/>
  <c r="C24" i="4"/>
  <c r="C25" i="4" s="1"/>
  <c r="G22" i="4"/>
  <c r="E15" i="4"/>
  <c r="M24" i="5"/>
  <c r="M25" i="5" s="1"/>
  <c r="K8" i="5"/>
  <c r="K15" i="5" s="1"/>
  <c r="E8" i="5"/>
  <c r="E15" i="5" s="1"/>
  <c r="C15" i="5"/>
  <c r="H8" i="4" l="1"/>
  <c r="H15" i="4" s="1"/>
  <c r="H16" i="4" s="1"/>
  <c r="C24" i="5"/>
  <c r="C25" i="5" s="1"/>
  <c r="C16" i="5"/>
  <c r="K24" i="5"/>
  <c r="K25" i="5" s="1"/>
  <c r="K16" i="5"/>
  <c r="E24" i="5"/>
  <c r="E25" i="5" s="1"/>
  <c r="E16" i="5"/>
  <c r="Q24" i="4"/>
  <c r="Q25" i="4" s="1"/>
  <c r="L24" i="4"/>
  <c r="L25" i="4" s="1"/>
  <c r="L16" i="4"/>
  <c r="K24" i="4"/>
  <c r="K25" i="4" s="1"/>
  <c r="K16" i="4"/>
  <c r="G24" i="4"/>
  <c r="G25" i="4" s="1"/>
  <c r="G23" i="4"/>
  <c r="E24" i="4"/>
  <c r="E25" i="4" s="1"/>
  <c r="E16" i="4"/>
  <c r="H24" i="4"/>
  <c r="H25" i="4" s="1"/>
  <c r="N24" i="4"/>
  <c r="N25" i="4" s="1"/>
  <c r="N24" i="5"/>
  <c r="N25" i="5" s="1"/>
  <c r="H24" i="5"/>
  <c r="H25" i="5" s="1"/>
  <c r="R23" i="3"/>
  <c r="R24" i="3" s="1"/>
  <c r="R16" i="3"/>
  <c r="Q23" i="3"/>
  <c r="Q24" i="3" s="1"/>
  <c r="Q16" i="3"/>
  <c r="Q25" i="3" s="1"/>
  <c r="Q26" i="3" s="1"/>
  <c r="O24" i="3"/>
  <c r="O16" i="3"/>
  <c r="O17" i="3" s="1"/>
  <c r="J21" i="3"/>
  <c r="J22" i="3"/>
  <c r="J19" i="3"/>
  <c r="J15" i="3"/>
  <c r="J14" i="3"/>
  <c r="J13" i="3"/>
  <c r="J12" i="3"/>
  <c r="J11" i="3"/>
  <c r="J10" i="3"/>
  <c r="J9" i="3"/>
  <c r="I23" i="3"/>
  <c r="I24" i="3" s="1"/>
  <c r="I16" i="3"/>
  <c r="N22" i="3"/>
  <c r="N19" i="3"/>
  <c r="N14" i="3"/>
  <c r="N12" i="3"/>
  <c r="N10" i="3"/>
  <c r="K23" i="3"/>
  <c r="K24" i="3" s="1"/>
  <c r="K16" i="3"/>
  <c r="K17" i="3" s="1"/>
  <c r="N9" i="3"/>
  <c r="M23" i="3"/>
  <c r="M24" i="3" s="1"/>
  <c r="G23" i="3"/>
  <c r="G24" i="3" s="1"/>
  <c r="G16" i="3"/>
  <c r="G25" i="3" l="1"/>
  <c r="G26" i="3" s="1"/>
  <c r="P16" i="3"/>
  <c r="P17" i="3" s="1"/>
  <c r="P23" i="3"/>
  <c r="P24" i="3" s="1"/>
  <c r="N16" i="3"/>
  <c r="N17" i="3" s="1"/>
  <c r="L16" i="3"/>
  <c r="L17" i="3" s="1"/>
  <c r="L23" i="3"/>
  <c r="L24" i="3" s="1"/>
  <c r="N23" i="3"/>
  <c r="N24" i="3" s="1"/>
  <c r="K25" i="3"/>
  <c r="K26" i="3" s="1"/>
  <c r="H23" i="3"/>
  <c r="H24" i="3" s="1"/>
  <c r="G17" i="3"/>
  <c r="H16" i="3"/>
  <c r="H17" i="3" s="1"/>
  <c r="I25" i="3"/>
  <c r="I26" i="3" s="1"/>
  <c r="J23" i="3"/>
  <c r="J24" i="3" s="1"/>
  <c r="I17" i="3"/>
  <c r="J16" i="3"/>
  <c r="R17" i="3"/>
  <c r="R25" i="3"/>
  <c r="R26" i="3" s="1"/>
  <c r="M16" i="3"/>
  <c r="M17" i="3" s="1"/>
  <c r="Q17" i="3"/>
  <c r="O25" i="3"/>
  <c r="O26" i="3" s="1"/>
  <c r="L25" i="3" l="1"/>
  <c r="L26" i="3" s="1"/>
  <c r="N25" i="3"/>
  <c r="N26" i="3" s="1"/>
  <c r="P25" i="3"/>
  <c r="P26" i="3" s="1"/>
  <c r="J25" i="3"/>
  <c r="J26" i="3" s="1"/>
  <c r="H25" i="3"/>
  <c r="H26" i="3" s="1"/>
  <c r="J17" i="3"/>
  <c r="M25" i="3"/>
  <c r="M26" i="3" s="1"/>
  <c r="D16" i="3" l="1"/>
  <c r="D17" i="3" s="1"/>
  <c r="D23" i="3"/>
  <c r="D24" i="3" s="1"/>
  <c r="F22" i="3"/>
  <c r="F21" i="3"/>
  <c r="F20" i="3"/>
  <c r="F19" i="3"/>
  <c r="F15" i="3"/>
  <c r="F14" i="3"/>
  <c r="F13" i="3"/>
  <c r="F12" i="3"/>
  <c r="F11" i="3"/>
  <c r="F10" i="3"/>
  <c r="F9" i="3"/>
  <c r="E23" i="3"/>
  <c r="E24" i="3" s="1"/>
  <c r="E16" i="3"/>
  <c r="C23" i="3"/>
  <c r="C24" i="3" s="1"/>
  <c r="C16" i="3"/>
  <c r="C17" i="3" s="1"/>
  <c r="E25" i="3" l="1"/>
  <c r="E26" i="3" s="1"/>
  <c r="F23" i="3"/>
  <c r="F24" i="3" s="1"/>
  <c r="D25" i="3"/>
  <c r="D26" i="3" s="1"/>
  <c r="F16" i="3"/>
  <c r="F17" i="3" s="1"/>
  <c r="E17" i="3"/>
  <c r="C25" i="3"/>
  <c r="C26" i="3" s="1"/>
  <c r="F25" i="3" l="1"/>
  <c r="F26" i="3" s="1"/>
  <c r="O22" i="1" l="1"/>
  <c r="O23" i="1" s="1"/>
  <c r="O15" i="1"/>
  <c r="M19" i="1"/>
  <c r="N15" i="1" l="1"/>
  <c r="N16" i="1" s="1"/>
  <c r="N22" i="1"/>
  <c r="N23" i="1" s="1"/>
  <c r="O24" i="1"/>
  <c r="O25" i="1" s="1"/>
  <c r="O16" i="1"/>
  <c r="M21" i="1"/>
  <c r="M20" i="1"/>
  <c r="M18" i="1"/>
  <c r="L21" i="1"/>
  <c r="L18" i="1"/>
  <c r="M14" i="1"/>
  <c r="M13" i="1"/>
  <c r="M10" i="1"/>
  <c r="M9" i="1"/>
  <c r="L11" i="1"/>
  <c r="L10" i="1"/>
  <c r="L9" i="1"/>
  <c r="K20" i="1"/>
  <c r="K19" i="1"/>
  <c r="L22" i="1" l="1"/>
  <c r="L23" i="1" s="1"/>
  <c r="M15" i="1"/>
  <c r="K22" i="1"/>
  <c r="K23" i="1" s="1"/>
  <c r="L15" i="1"/>
  <c r="N24" i="1"/>
  <c r="N25" i="1" s="1"/>
  <c r="M22" i="1"/>
  <c r="M23" i="1" s="1"/>
  <c r="K14" i="1"/>
  <c r="K12" i="1"/>
  <c r="K11" i="1"/>
  <c r="K10" i="1"/>
  <c r="K9" i="1"/>
  <c r="K8" i="1"/>
  <c r="M24" i="1" l="1"/>
  <c r="M25" i="1" s="1"/>
  <c r="M16" i="1"/>
  <c r="K15" i="1"/>
  <c r="L24" i="1"/>
  <c r="L25" i="1" s="1"/>
  <c r="L16" i="1"/>
  <c r="K24" i="1" l="1"/>
  <c r="K25" i="1" s="1"/>
  <c r="K16" i="1"/>
  <c r="J22" i="1"/>
  <c r="J23" i="1" s="1"/>
  <c r="H22" i="1"/>
  <c r="H23" i="1" s="1"/>
  <c r="I15" i="1" l="1"/>
  <c r="I16" i="1" s="1"/>
  <c r="H15" i="1"/>
  <c r="H24" i="1" s="1"/>
  <c r="H25" i="1" s="1"/>
  <c r="I22" i="1"/>
  <c r="I23" i="1" s="1"/>
  <c r="G22" i="1"/>
  <c r="G23" i="1" s="1"/>
  <c r="J15" i="1"/>
  <c r="H16" i="1" l="1"/>
  <c r="I24" i="1"/>
  <c r="I25" i="1" s="1"/>
  <c r="G15" i="1"/>
  <c r="J16" i="1"/>
  <c r="J24" i="1"/>
  <c r="J25" i="1" s="1"/>
  <c r="F22" i="1"/>
  <c r="F23" i="1" s="1"/>
  <c r="E22" i="1"/>
  <c r="E23" i="1" s="1"/>
  <c r="D22" i="1"/>
  <c r="D23" i="1" s="1"/>
  <c r="G24" i="1" l="1"/>
  <c r="G25" i="1" s="1"/>
  <c r="G16" i="1"/>
  <c r="D15" i="1"/>
  <c r="F15" i="1"/>
  <c r="F16" i="1" s="1"/>
  <c r="E15" i="1"/>
  <c r="E16" i="1" s="1"/>
  <c r="D16" i="1" l="1"/>
  <c r="D24" i="1"/>
  <c r="D25" i="1" s="1"/>
  <c r="F24" i="1"/>
  <c r="F25" i="1" s="1"/>
  <c r="E24" i="1"/>
  <c r="E25" i="1" s="1"/>
  <c r="C22" i="1"/>
  <c r="C23" i="1" s="1"/>
  <c r="C15" i="1"/>
  <c r="C16" i="1" s="1"/>
  <c r="C24" i="1" l="1"/>
  <c r="C25" i="1" s="1"/>
  <c r="V20" i="2"/>
  <c r="V19" i="2"/>
  <c r="V18" i="2"/>
  <c r="V13" i="2"/>
  <c r="V9" i="2"/>
  <c r="U22" i="2"/>
  <c r="T22" i="2"/>
  <c r="T23" i="2" s="1"/>
  <c r="S22" i="2"/>
  <c r="S23" i="2" s="1"/>
  <c r="R22" i="2"/>
  <c r="R23" i="2" s="1"/>
  <c r="U15" i="2"/>
  <c r="U24" i="2" s="1"/>
  <c r="U25" i="2" s="1"/>
  <c r="T15" i="2"/>
  <c r="T16" i="2" s="1"/>
  <c r="S15" i="2"/>
  <c r="S16" i="2" s="1"/>
  <c r="R15" i="2"/>
  <c r="R16" i="2" s="1"/>
  <c r="Q18" i="2"/>
  <c r="Q13" i="2"/>
  <c r="Q11" i="2"/>
  <c r="Q9" i="2"/>
  <c r="Q8" i="2"/>
  <c r="P22" i="2"/>
  <c r="P23" i="2" s="1"/>
  <c r="O22" i="2"/>
  <c r="O23" i="2" s="1"/>
  <c r="N22" i="2"/>
  <c r="N23" i="2" s="1"/>
  <c r="M22" i="2"/>
  <c r="M23" i="2" s="1"/>
  <c r="P15" i="2"/>
  <c r="P16" i="2" s="1"/>
  <c r="O15" i="2"/>
  <c r="N15" i="2"/>
  <c r="M15" i="2"/>
  <c r="M16" i="2" s="1"/>
  <c r="L21" i="2"/>
  <c r="L20" i="2"/>
  <c r="L19" i="2"/>
  <c r="L18" i="2"/>
  <c r="L14" i="2"/>
  <c r="L13" i="2"/>
  <c r="L12" i="2"/>
  <c r="L11" i="2"/>
  <c r="L10" i="2"/>
  <c r="L9" i="2"/>
  <c r="L8" i="2"/>
  <c r="K22" i="2"/>
  <c r="K23" i="2" s="1"/>
  <c r="J22" i="2"/>
  <c r="J23" i="2" s="1"/>
  <c r="I22" i="2"/>
  <c r="I23" i="2" s="1"/>
  <c r="H22" i="2"/>
  <c r="H23" i="2" s="1"/>
  <c r="K15" i="2"/>
  <c r="K16" i="2" s="1"/>
  <c r="J15" i="2"/>
  <c r="J16" i="2" s="1"/>
  <c r="I15" i="2"/>
  <c r="I16" i="2" s="1"/>
  <c r="H15" i="2"/>
  <c r="H16" i="2" s="1"/>
  <c r="G21" i="2"/>
  <c r="G20" i="2"/>
  <c r="G19" i="2"/>
  <c r="G18" i="2"/>
  <c r="G14" i="2"/>
  <c r="G13" i="2"/>
  <c r="G12" i="2"/>
  <c r="G11" i="2"/>
  <c r="G10" i="2"/>
  <c r="G9" i="2"/>
  <c r="G8" i="2"/>
  <c r="F22" i="2"/>
  <c r="F23" i="2" s="1"/>
  <c r="E22" i="2"/>
  <c r="E23" i="2" s="1"/>
  <c r="F15" i="2"/>
  <c r="E15" i="2"/>
  <c r="E16" i="2" s="1"/>
  <c r="D22" i="2"/>
  <c r="D23" i="2" s="1"/>
  <c r="D15" i="2"/>
  <c r="D16" i="2" s="1"/>
  <c r="C22" i="2"/>
  <c r="C23" i="2" s="1"/>
  <c r="C15" i="2"/>
  <c r="C16" i="2" s="1"/>
  <c r="N24" i="2" l="1"/>
  <c r="N25" i="2" s="1"/>
  <c r="F24" i="2"/>
  <c r="F25" i="2" s="1"/>
  <c r="Q22" i="2"/>
  <c r="Q23" i="2" s="1"/>
  <c r="T24" i="2"/>
  <c r="T25" i="2" s="1"/>
  <c r="S24" i="2"/>
  <c r="S25" i="2" s="1"/>
  <c r="V22" i="2"/>
  <c r="V23" i="2" s="1"/>
  <c r="V15" i="2"/>
  <c r="V16" i="2" s="1"/>
  <c r="R24" i="2"/>
  <c r="R25" i="2" s="1"/>
  <c r="O24" i="2"/>
  <c r="O25" i="2" s="1"/>
  <c r="O16" i="2"/>
  <c r="N16" i="2"/>
  <c r="Q15" i="2"/>
  <c r="Q16" i="2" s="1"/>
  <c r="L22" i="2"/>
  <c r="L23" i="2" s="1"/>
  <c r="I24" i="2"/>
  <c r="I25" i="2" s="1"/>
  <c r="J24" i="2"/>
  <c r="J25" i="2" s="1"/>
  <c r="H24" i="2"/>
  <c r="H25" i="2" s="1"/>
  <c r="G22" i="2"/>
  <c r="G23" i="2" s="1"/>
  <c r="D24" i="2"/>
  <c r="D25" i="2" s="1"/>
  <c r="U23" i="2"/>
  <c r="U16" i="2"/>
  <c r="K24" i="2"/>
  <c r="K25" i="2" s="1"/>
  <c r="L15" i="2"/>
  <c r="F16" i="2"/>
  <c r="G15" i="2"/>
  <c r="G16" i="2" s="1"/>
  <c r="P24" i="2"/>
  <c r="P25" i="2" s="1"/>
  <c r="M24" i="2"/>
  <c r="M25" i="2" s="1"/>
  <c r="C24" i="2"/>
  <c r="C25" i="2" s="1"/>
  <c r="E24" i="2"/>
  <c r="E25" i="2" s="1"/>
  <c r="V24" i="2" l="1"/>
  <c r="V25" i="2" s="1"/>
  <c r="G24" i="2"/>
  <c r="G25" i="2" s="1"/>
  <c r="Q24" i="2"/>
  <c r="Q25" i="2" s="1"/>
  <c r="L16" i="2"/>
  <c r="L24" i="2"/>
  <c r="L25" i="2" s="1"/>
  <c r="F15" i="7"/>
  <c r="F24" i="7" s="1"/>
  <c r="F25" i="7" s="1"/>
  <c r="F16" i="7" l="1"/>
</calcChain>
</file>

<file path=xl/sharedStrings.xml><?xml version="1.0" encoding="utf-8"?>
<sst xmlns="http://schemas.openxmlformats.org/spreadsheetml/2006/main" count="1129" uniqueCount="108">
  <si>
    <t>Eil. Nr.</t>
  </si>
  <si>
    <t>Savivaldybių viešosios bibliotekos</t>
  </si>
  <si>
    <t>Iš viso SVB</t>
  </si>
  <si>
    <t>VB</t>
  </si>
  <si>
    <t>MF</t>
  </si>
  <si>
    <t>KF</t>
  </si>
  <si>
    <t>SVB</t>
  </si>
  <si>
    <t>I. Klaipėdos apskritis</t>
  </si>
  <si>
    <t>1.</t>
  </si>
  <si>
    <t>Klaipėdos m.</t>
  </si>
  <si>
    <t>0*</t>
  </si>
  <si>
    <t>x</t>
  </si>
  <si>
    <t>2.</t>
  </si>
  <si>
    <t>Klaipėdos r.</t>
  </si>
  <si>
    <t>3.</t>
  </si>
  <si>
    <t>Kretingos r.</t>
  </si>
  <si>
    <t>4.</t>
  </si>
  <si>
    <t>Neringos m.</t>
  </si>
  <si>
    <t>5.</t>
  </si>
  <si>
    <t>Palangos m.</t>
  </si>
  <si>
    <t>6.</t>
  </si>
  <si>
    <t>Skuodo r.</t>
  </si>
  <si>
    <t>7.</t>
  </si>
  <si>
    <t>Šilutės r.</t>
  </si>
  <si>
    <t>II. Tauragės apskritis</t>
  </si>
  <si>
    <t>Jurbarko r.</t>
  </si>
  <si>
    <t>Pagėgių sav.</t>
  </si>
  <si>
    <t>Šilalės r.</t>
  </si>
  <si>
    <t>Tauragės r.</t>
  </si>
  <si>
    <t>Iš viso Klaipėdos ir Tauragės apskrityse:</t>
  </si>
  <si>
    <t>Iš viso:</t>
  </si>
  <si>
    <t>Vidutiniškai vienoje bibliotekoje Klaipėdos ir Tauragės apskrityse:</t>
  </si>
  <si>
    <t>Vidutiniškai vienoje bibliotekoje:</t>
  </si>
  <si>
    <t>Vartotojų sk. vienam gyventojui</t>
  </si>
  <si>
    <t>Biblioteki-ninkų sk. 1000 vartotojų</t>
  </si>
  <si>
    <t>Vidut. gyvent. sk. vienai bibliotekai</t>
  </si>
  <si>
    <t>Skirtu-mas</t>
  </si>
  <si>
    <t>Iš viso</t>
  </si>
  <si>
    <t>Perreg.</t>
  </si>
  <si>
    <t>Nauji</t>
  </si>
  <si>
    <t>* VB ir MF veikia vienoje teritorijoje</t>
  </si>
  <si>
    <t>Gyventojų skaičius bibliotekų aptarnaujamose teritorijose</t>
  </si>
  <si>
    <t>skaičius</t>
  </si>
  <si>
    <t>%</t>
  </si>
  <si>
    <t>skirtumas</t>
  </si>
  <si>
    <t>Miesto fil.</t>
  </si>
  <si>
    <t>Kaimo fil.</t>
  </si>
  <si>
    <t>SVB tinklo bibliotekose</t>
  </si>
  <si>
    <t>Apsilankymų (fizinių) sk. vienam gyventojui</t>
  </si>
  <si>
    <t>Skirtumas</t>
  </si>
  <si>
    <t>Fiz. vnt.</t>
  </si>
  <si>
    <t>Grožinės literatūros išduotis</t>
  </si>
  <si>
    <t>Šakinės literatūros išduotis</t>
  </si>
  <si>
    <t>Periodinių leidinių išduotis</t>
  </si>
  <si>
    <t xml:space="preserve">3.6. KLAIPĖDOS IR TAURAGĖS APSKRIČIŲ SAVIVALDYBIŲ VIEŠŲJŲ BIBLIOTEKŲ </t>
  </si>
  <si>
    <t>Išduota dokumentų į namus</t>
  </si>
  <si>
    <t>Išduota dokumentų vietoje</t>
  </si>
  <si>
    <t xml:space="preserve">3.7. KLAIPĖDOS IR TAURAGĖS APSKRIČIŲ SAVIVALDYBIŲ VIEŠŲJŲ BIBLIOTEKŲ </t>
  </si>
  <si>
    <t xml:space="preserve">3.8. SKAITOMUMAS IR LANKOMUMAS </t>
  </si>
  <si>
    <t>Skaitomumas</t>
  </si>
  <si>
    <t>Lankomumas</t>
  </si>
  <si>
    <t xml:space="preserve">3.9. VAIKŲ SKAITOMUMAS IR LANKOMUMAS </t>
  </si>
  <si>
    <t>Interneto seansų skaičius</t>
  </si>
  <si>
    <t>Atsisiųstųjų įrašų skaičius</t>
  </si>
  <si>
    <t>Virtualių apsilankymų skaičius</t>
  </si>
  <si>
    <t>Nusiųstųjų dokumentų skaičius</t>
  </si>
  <si>
    <t xml:space="preserve">* Grožinės ir šakinės literatūros procentas skaičiuojamas nuo visų leidinių išduoties. </t>
  </si>
  <si>
    <t xml:space="preserve">3.10. VARTOTOJAMS SKIRTOS DARBO VIETOS (DV) IR KOMPIUTERIZUOTOS DARBO VIETOS (KDV) </t>
  </si>
  <si>
    <t>Iš jų:</t>
  </si>
  <si>
    <t>KDV vartotojams iš viso:</t>
  </si>
  <si>
    <t xml:space="preserve">DV skaityklose </t>
  </si>
  <si>
    <t>Prijung-tos prie tinklo</t>
  </si>
  <si>
    <t>Prijung-tos prie interneto</t>
  </si>
  <si>
    <t>Gauta užklausų</t>
  </si>
  <si>
    <t>Užklausų skaičius vienai bibliotekai</t>
  </si>
  <si>
    <t>Įvykdyta užklausų</t>
  </si>
  <si>
    <t>Renginių iš viso:</t>
  </si>
  <si>
    <t>Tenka renginių vienai bibliotekai</t>
  </si>
  <si>
    <t>Iš jų parodos</t>
  </si>
  <si>
    <t>2020 m.</t>
  </si>
  <si>
    <t>KDV pokytis lyginant su 2019 m.</t>
  </si>
  <si>
    <t xml:space="preserve"> </t>
  </si>
  <si>
    <t>PERIODINIŲ LEIDINIŲ IŠDUOTIS 2021 M.</t>
  </si>
  <si>
    <t>3.1. KLAIPĖDOS IR TAURAGĖS APSKRIČIŲ SAVIVALDYBIŲ VIEŠŲJŲ BIBLIOTEKŲ VARTOTOJŲ TELKIMAS 2021 M.</t>
  </si>
  <si>
    <t>Nuolatinis gyventojų skaičius metų pradžioje pagal amžiaus grupes apskrityse ir savivaldybėse 2021 m. Lietuvos statistikos departamentas</t>
  </si>
  <si>
    <t>3.2. KLAIPĖDOS IR TAURAGĖS APSKRIČIŲ SAVIVALDYBIŲ VIEŠŲJŲ BIBLIOTEKŲ VARTOTOJŲ SKAIČIUS 2020-2021 M.</t>
  </si>
  <si>
    <t>SVB tinklo bibliotekose 2021 m.</t>
  </si>
  <si>
    <t>VB 2021 m.</t>
  </si>
  <si>
    <t>Miesto fil. 2021 m.</t>
  </si>
  <si>
    <t>Kaimo fil. 2021 m.</t>
  </si>
  <si>
    <t>3.2.1. KLAIPĖDOS IR TAURAGĖS APSKRIČIŲ SAVIVALDYBIŲ VIEŠŲJŲ BIBLIOTEKŲ VARTOTOJŲ VAIKŲ SKAIČIUS 2020-2021 M.</t>
  </si>
  <si>
    <t>2021 m.</t>
  </si>
  <si>
    <t>3.3. KLAIPĖDOS IR TAURAGĖS APSKRIČIŲ SAVIVALDYBIŲ VIEŠŲJŲ BIBLIOTEKŲ LANKYTOJŲ SKAIČIUS 2020-2021 M.</t>
  </si>
  <si>
    <t>Lankytojų sk.     2021 m.</t>
  </si>
  <si>
    <t>Gyventojai (Statistikos departamento duomenys 2021 m. pradžioje)</t>
  </si>
  <si>
    <t>3.3.1. KLAIPĖDOS IR TAURAGĖS APSKRIČIŲ SAVIVALDYBIŲ VIEŠŲJŲ BIBLIOTEKŲ LANKYTOJŲ VAIKŲ SKAIČIUS 2020-2021 M.</t>
  </si>
  <si>
    <t xml:space="preserve">    2021 m.</t>
  </si>
  <si>
    <t>3.4. KLAIPĖDOS IR TAURAGĖS APSKRIČIŲ SAVIVALDYBIŲ VIEŠŲJŲ BIBLIOTEKŲ DOKUMENTŲ IŠDUOTIS (FIZ.VNT.) 2020-2021 M.</t>
  </si>
  <si>
    <t>3.5. KLAIPĖDOS IR TAURAGĖS APSKRIČIŲ SAVIVALDYBIŲ VIEŠŲJŲ BIBLIOTEKŲ GROŽINĖS IR ŠAKINĖS LITERATŪROS IŠDUOTIS 2021 M.</t>
  </si>
  <si>
    <t>DOKUMENTŲ IŠDUOTIS VIETOJE IR Į NAMUS 2021 M.</t>
  </si>
  <si>
    <t>KLAIPĖDOS IR TAURAGĖS APSKRIČIŲ SAVIVALDYBIŲ VIEŠOSIOSE BIBLIOTEKOSE 2021 M.</t>
  </si>
  <si>
    <t>3.11. INFORMACINĖS UŽKLAUSOS KLAIPĖDOS IR TAURAGĖS APSKRIČIŲ SAVIVALDYBIŲ VIEŠOSIOSE BIBLIOTEKOSE 2021 M.</t>
  </si>
  <si>
    <t>3.12. RENGINIŲ SKAIČIUS KLAIPĖDOS IR TAURAGĖS APSKRIČIŲ SAVIVALDYBIŲ VIEŠOSIOSE BIBLIOTEKOSE 2021 M.</t>
  </si>
  <si>
    <t>3.10. NAUDOJIMASIS ELEKTRONINĖMIS PASLAUGOMIS KLAIPĖDOS IR TAURAGĖS APSKRIČIŲ SAVIVALDYBIŲ VIEŠOSIOSE BIBLIOTEKOSE 2021 M.</t>
  </si>
  <si>
    <t>Renginių skaičiaus vienai bibliotekai pokytis, lyginant su 2020 m.</t>
  </si>
  <si>
    <t>Užklausų skaičiaus vienai bibliotekai pokytis, lyginant su 2020 m.</t>
  </si>
  <si>
    <t xml:space="preserve">** Gyventojų sutelkimo procentas: bibliotekų vartotojų sk./ gyventojų sk. bibliotekų aptarnaujamose teritorijose ir * 100 </t>
  </si>
  <si>
    <t>Gyventojų sutelkimo procentas**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</si>
</sst>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rgb="FF000000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rgb="FF000000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2"/>
      <color rgb="FF000000"/>
      <name val="Calibri"/>
      <family val="2"/>
      <charset val="186"/>
      <scheme val="minor"/>
    </font>
    <font>
      <sz val="11"/>
      <name val="Calibri"/>
      <family val="2"/>
      <charset val="186"/>
    </font>
    <font>
      <sz val="12"/>
      <color rgb="FF000000"/>
      <name val="Calibri"/>
      <family val="2"/>
      <charset val="186"/>
    </font>
    <font>
      <b/>
      <sz val="12"/>
      <color rgb="FF000000"/>
      <name val="Calibri"/>
      <family val="2"/>
      <charset val="186"/>
    </font>
    <font>
      <b/>
      <sz val="12"/>
      <name val="Calibri"/>
      <family val="2"/>
      <charset val="186"/>
    </font>
    <font>
      <sz val="12"/>
      <name val="Calibri"/>
      <family val="2"/>
      <charset val="186"/>
    </font>
    <font>
      <sz val="10"/>
      <name val="Arial"/>
      <family val="2"/>
      <charset val="186"/>
    </font>
    <font>
      <b/>
      <sz val="22"/>
      <color rgb="FFFF0000"/>
      <name val="Calibri"/>
      <family val="2"/>
      <charset val="186"/>
    </font>
    <font>
      <b/>
      <sz val="28"/>
      <color rgb="FFFF0000"/>
      <name val="Calibri"/>
      <family val="2"/>
      <charset val="186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rgb="FFD6E3B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00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15" fillId="0" borderId="0"/>
  </cellStyleXfs>
  <cellXfs count="169">
    <xf numFmtId="0" fontId="0" fillId="0" borderId="0" xfId="0"/>
    <xf numFmtId="0" fontId="4" fillId="3" borderId="1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6" fillId="6" borderId="5" xfId="1" applyFont="1" applyFill="1" applyBorder="1" applyAlignment="1">
      <alignment horizontal="center" wrapText="1"/>
    </xf>
    <xf numFmtId="0" fontId="6" fillId="6" borderId="5" xfId="1" applyFont="1" applyFill="1" applyBorder="1" applyAlignment="1">
      <alignment vertical="center" wrapText="1"/>
    </xf>
    <xf numFmtId="0" fontId="7" fillId="0" borderId="0" xfId="0" applyFont="1"/>
    <xf numFmtId="0" fontId="6" fillId="6" borderId="5" xfId="0" applyFont="1" applyFill="1" applyBorder="1" applyAlignment="1">
      <alignment horizontal="center" vertical="top"/>
    </xf>
    <xf numFmtId="0" fontId="6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horizontal="center" vertical="center" wrapText="1"/>
    </xf>
    <xf numFmtId="1" fontId="6" fillId="7" borderId="5" xfId="0" applyNumberFormat="1" applyFont="1" applyFill="1" applyBorder="1" applyAlignment="1">
      <alignment horizontal="center" vertical="top"/>
    </xf>
    <xf numFmtId="0" fontId="6" fillId="6" borderId="5" xfId="0" applyFont="1" applyFill="1" applyBorder="1" applyAlignment="1">
      <alignment horizontal="center"/>
    </xf>
    <xf numFmtId="0" fontId="4" fillId="3" borderId="6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" fillId="6" borderId="5" xfId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6" borderId="5" xfId="1" applyFont="1" applyFill="1" applyBorder="1" applyAlignment="1">
      <alignment horizontal="left" vertical="center" wrapText="1"/>
    </xf>
    <xf numFmtId="0" fontId="4" fillId="3" borderId="21" xfId="2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/>
    </xf>
    <xf numFmtId="1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11" fillId="4" borderId="5" xfId="0" applyFont="1" applyFill="1" applyBorder="1"/>
    <xf numFmtId="0" fontId="2" fillId="0" borderId="0" xfId="0" applyFont="1" applyAlignment="1"/>
    <xf numFmtId="0" fontId="5" fillId="4" borderId="5" xfId="0" applyFont="1" applyFill="1" applyBorder="1" applyAlignment="1">
      <alignment vertical="center"/>
    </xf>
    <xf numFmtId="0" fontId="5" fillId="4" borderId="12" xfId="0" applyFont="1" applyFill="1" applyBorder="1" applyAlignment="1">
      <alignment vertical="center"/>
    </xf>
    <xf numFmtId="0" fontId="5" fillId="4" borderId="14" xfId="0" applyFont="1" applyFill="1" applyBorder="1" applyAlignment="1">
      <alignment vertical="center"/>
    </xf>
    <xf numFmtId="0" fontId="5" fillId="4" borderId="13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0" fontId="5" fillId="4" borderId="17" xfId="0" applyFont="1" applyFill="1" applyBorder="1" applyAlignment="1">
      <alignment vertical="center"/>
    </xf>
    <xf numFmtId="0" fontId="11" fillId="0" borderId="0" xfId="0" applyFont="1"/>
    <xf numFmtId="0" fontId="0" fillId="0" borderId="0" xfId="0" applyAlignment="1"/>
    <xf numFmtId="0" fontId="4" fillId="3" borderId="23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/>
    <xf numFmtId="2" fontId="6" fillId="7" borderId="5" xfId="0" applyNumberFormat="1" applyFont="1" applyFill="1" applyBorder="1" applyAlignment="1">
      <alignment horizontal="center" vertical="center"/>
    </xf>
    <xf numFmtId="164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1" fontId="7" fillId="0" borderId="0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left" vertical="center"/>
    </xf>
    <xf numFmtId="1" fontId="6" fillId="6" borderId="5" xfId="0" applyNumberFormat="1" applyFont="1" applyFill="1" applyBorder="1" applyAlignment="1">
      <alignment horizontal="center" vertical="center"/>
    </xf>
    <xf numFmtId="0" fontId="6" fillId="7" borderId="5" xfId="1" applyFont="1" applyFill="1" applyBorder="1" applyAlignment="1">
      <alignment horizontal="center" wrapText="1"/>
    </xf>
    <xf numFmtId="1" fontId="6" fillId="7" borderId="5" xfId="1" applyNumberFormat="1" applyFont="1" applyFill="1" applyBorder="1" applyAlignment="1">
      <alignment horizontal="center" wrapText="1"/>
    </xf>
    <xf numFmtId="0" fontId="6" fillId="7" borderId="5" xfId="1" applyFont="1" applyFill="1" applyBorder="1" applyAlignment="1">
      <alignment horizontal="center" vertical="center" wrapText="1"/>
    </xf>
    <xf numFmtId="1" fontId="6" fillId="7" borderId="5" xfId="1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/>
    </xf>
    <xf numFmtId="1" fontId="6" fillId="7" borderId="5" xfId="0" applyNumberFormat="1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" fontId="6" fillId="7" borderId="12" xfId="0" applyNumberFormat="1" applyFont="1" applyFill="1" applyBorder="1" applyAlignment="1">
      <alignment horizontal="center" vertical="center"/>
    </xf>
    <xf numFmtId="1" fontId="14" fillId="7" borderId="5" xfId="0" applyNumberFormat="1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1" fontId="8" fillId="5" borderId="12" xfId="0" applyNumberFormat="1" applyFont="1" applyFill="1" applyBorder="1" applyAlignment="1">
      <alignment horizontal="center" vertical="center"/>
    </xf>
    <xf numFmtId="1" fontId="13" fillId="5" borderId="5" xfId="0" applyNumberFormat="1" applyFont="1" applyFill="1" applyBorder="1" applyAlignment="1">
      <alignment horizontal="center" vertical="center"/>
    </xf>
    <xf numFmtId="1" fontId="14" fillId="6" borderId="5" xfId="0" applyNumberFormat="1" applyFont="1" applyFill="1" applyBorder="1" applyAlignment="1">
      <alignment horizontal="center" vertical="center"/>
    </xf>
    <xf numFmtId="164" fontId="6" fillId="6" borderId="5" xfId="0" applyNumberFormat="1" applyFont="1" applyFill="1" applyBorder="1" applyAlignment="1">
      <alignment horizontal="center"/>
    </xf>
    <xf numFmtId="164" fontId="6" fillId="7" borderId="5" xfId="0" applyNumberFormat="1" applyFont="1" applyFill="1" applyBorder="1" applyAlignment="1">
      <alignment horizontal="center"/>
    </xf>
    <xf numFmtId="164" fontId="8" fillId="5" borderId="5" xfId="0" applyNumberFormat="1" applyFont="1" applyFill="1" applyBorder="1" applyAlignment="1">
      <alignment horizontal="center" vertical="center"/>
    </xf>
    <xf numFmtId="1" fontId="6" fillId="6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/>
    </xf>
    <xf numFmtId="2" fontId="6" fillId="7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 vertical="center"/>
    </xf>
    <xf numFmtId="2" fontId="8" fillId="5" borderId="5" xfId="0" applyNumberFormat="1" applyFont="1" applyFill="1" applyBorder="1" applyAlignment="1">
      <alignment horizontal="center" vertical="center"/>
    </xf>
    <xf numFmtId="164" fontId="6" fillId="6" borderId="5" xfId="1" applyNumberFormat="1" applyFont="1" applyFill="1" applyBorder="1" applyAlignment="1">
      <alignment horizontal="center" vertical="center" wrapText="1"/>
    </xf>
    <xf numFmtId="164" fontId="14" fillId="7" borderId="5" xfId="0" applyNumberFormat="1" applyFont="1" applyFill="1" applyBorder="1" applyAlignment="1">
      <alignment horizontal="center" vertical="center"/>
    </xf>
    <xf numFmtId="164" fontId="13" fillId="5" borderId="5" xfId="0" applyNumberFormat="1" applyFont="1" applyFill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0" fillId="0" borderId="0" xfId="0" applyFont="1"/>
    <xf numFmtId="0" fontId="14" fillId="6" borderId="5" xfId="0" applyFont="1" applyFill="1" applyBorder="1" applyAlignment="1">
      <alignment horizontal="center" vertical="center"/>
    </xf>
    <xf numFmtId="164" fontId="14" fillId="6" borderId="5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164" fontId="8" fillId="5" borderId="12" xfId="0" applyNumberFormat="1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2" fillId="0" borderId="0" xfId="0" applyFont="1"/>
    <xf numFmtId="1" fontId="14" fillId="6" borderId="26" xfId="0" applyNumberFormat="1" applyFont="1" applyFill="1" applyBorder="1" applyAlignment="1">
      <alignment horizontal="center" vertical="center"/>
    </xf>
    <xf numFmtId="1" fontId="14" fillId="8" borderId="26" xfId="0" applyNumberFormat="1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1" fontId="14" fillId="0" borderId="2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64" fontId="14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1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5" borderId="12" xfId="1" applyFont="1" applyFill="1" applyBorder="1" applyAlignment="1">
      <alignment horizontal="right" vertical="center" wrapText="1"/>
    </xf>
    <xf numFmtId="0" fontId="8" fillId="5" borderId="13" xfId="1" applyFont="1" applyFill="1" applyBorder="1" applyAlignment="1">
      <alignment horizontal="right" vertical="center" wrapText="1"/>
    </xf>
    <xf numFmtId="0" fontId="6" fillId="7" borderId="12" xfId="1" applyFont="1" applyFill="1" applyBorder="1" applyAlignment="1">
      <alignment horizontal="right" wrapText="1"/>
    </xf>
    <xf numFmtId="0" fontId="6" fillId="7" borderId="13" xfId="1" applyFont="1" applyFill="1" applyBorder="1" applyAlignment="1">
      <alignment horizontal="right" wrapText="1"/>
    </xf>
    <xf numFmtId="0" fontId="6" fillId="7" borderId="12" xfId="1" applyFont="1" applyFill="1" applyBorder="1" applyAlignment="1">
      <alignment horizontal="right" vertical="center"/>
    </xf>
    <xf numFmtId="0" fontId="6" fillId="7" borderId="13" xfId="1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left"/>
    </xf>
    <xf numFmtId="0" fontId="4" fillId="3" borderId="5" xfId="2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/>
    <xf numFmtId="0" fontId="8" fillId="5" borderId="14" xfId="1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left"/>
    </xf>
    <xf numFmtId="0" fontId="4" fillId="3" borderId="12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4" fillId="3" borderId="20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18" xfId="2" applyFont="1" applyFill="1" applyBorder="1" applyAlignment="1">
      <alignment horizontal="center" vertical="center" wrapText="1"/>
    </xf>
    <xf numFmtId="0" fontId="4" fillId="3" borderId="19" xfId="2" applyFont="1" applyFill="1" applyBorder="1" applyAlignment="1">
      <alignment horizontal="center" vertical="center" wrapText="1"/>
    </xf>
    <xf numFmtId="0" fontId="6" fillId="7" borderId="12" xfId="1" applyFont="1" applyFill="1" applyBorder="1" applyAlignment="1">
      <alignment horizontal="right" vertical="center" wrapText="1"/>
    </xf>
    <xf numFmtId="0" fontId="6" fillId="7" borderId="13" xfId="1" applyFont="1" applyFill="1" applyBorder="1" applyAlignment="1">
      <alignment horizontal="right" vertical="center" wrapText="1"/>
    </xf>
    <xf numFmtId="0" fontId="5" fillId="4" borderId="12" xfId="0" applyFont="1" applyFill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5" fillId="4" borderId="13" xfId="0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4" fillId="3" borderId="14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4" fillId="3" borderId="24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22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4" fillId="3" borderId="27" xfId="2" applyFont="1" applyFill="1" applyBorder="1" applyAlignment="1">
      <alignment horizontal="center" vertical="center" wrapText="1"/>
    </xf>
    <xf numFmtId="0" fontId="4" fillId="3" borderId="25" xfId="2" applyFont="1" applyFill="1" applyBorder="1" applyAlignment="1">
      <alignment horizontal="center" vertical="center" wrapText="1"/>
    </xf>
    <xf numFmtId="1" fontId="8" fillId="5" borderId="12" xfId="1" applyNumberFormat="1" applyFont="1" applyFill="1" applyBorder="1" applyAlignment="1">
      <alignment horizontal="right" vertical="center" wrapText="1"/>
    </xf>
    <xf numFmtId="1" fontId="8" fillId="5" borderId="13" xfId="1" applyNumberFormat="1" applyFont="1" applyFill="1" applyBorder="1" applyAlignment="1">
      <alignment horizontal="right" vertical="center" wrapText="1"/>
    </xf>
    <xf numFmtId="1" fontId="6" fillId="7" borderId="12" xfId="1" applyNumberFormat="1" applyFont="1" applyFill="1" applyBorder="1" applyAlignment="1">
      <alignment horizontal="right" vertical="center"/>
    </xf>
    <xf numFmtId="1" fontId="6" fillId="7" borderId="13" xfId="1" applyNumberFormat="1" applyFont="1" applyFill="1" applyBorder="1" applyAlignment="1">
      <alignment horizontal="right" vertical="center"/>
    </xf>
    <xf numFmtId="1" fontId="6" fillId="7" borderId="12" xfId="1" applyNumberFormat="1" applyFont="1" applyFill="1" applyBorder="1" applyAlignment="1">
      <alignment horizontal="right" wrapText="1"/>
    </xf>
    <xf numFmtId="1" fontId="6" fillId="7" borderId="13" xfId="1" applyNumberFormat="1" applyFont="1" applyFill="1" applyBorder="1" applyAlignment="1">
      <alignment horizontal="right" wrapText="1"/>
    </xf>
    <xf numFmtId="0" fontId="5" fillId="4" borderId="15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1" fontId="6" fillId="7" borderId="5" xfId="1" applyNumberFormat="1" applyFont="1" applyFill="1" applyBorder="1" applyAlignment="1">
      <alignment horizontal="right" wrapText="1"/>
    </xf>
    <xf numFmtId="0" fontId="5" fillId="4" borderId="5" xfId="0" applyFont="1" applyFill="1" applyBorder="1" applyAlignment="1">
      <alignment horizontal="left" vertical="center"/>
    </xf>
    <xf numFmtId="0" fontId="6" fillId="7" borderId="5" xfId="1" applyFont="1" applyFill="1" applyBorder="1" applyAlignment="1">
      <alignment horizontal="right" vertical="center"/>
    </xf>
    <xf numFmtId="0" fontId="8" fillId="5" borderId="5" xfId="1" applyFont="1" applyFill="1" applyBorder="1" applyAlignment="1">
      <alignment horizontal="right" vertical="center" wrapText="1"/>
    </xf>
    <xf numFmtId="0" fontId="6" fillId="7" borderId="5" xfId="1" applyFont="1" applyFill="1" applyBorder="1" applyAlignment="1">
      <alignment horizontal="right" wrapText="1"/>
    </xf>
    <xf numFmtId="0" fontId="7" fillId="4" borderId="12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</cellXfs>
  <cellStyles count="4">
    <cellStyle name="20% – paryškinimas 4" xfId="1" builtinId="42"/>
    <cellStyle name="Įprastas" xfId="0" builtinId="0" customBuiltin="1"/>
    <cellStyle name="Įprastas 2" xfId="2"/>
    <cellStyle name="Įprastas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52737</xdr:colOff>
      <xdr:row>29</xdr:row>
      <xdr:rowOff>180974</xdr:rowOff>
    </xdr:from>
    <xdr:to>
      <xdr:col>7</xdr:col>
      <xdr:colOff>428625</xdr:colOff>
      <xdr:row>49</xdr:row>
      <xdr:rowOff>189779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37" y="6267449"/>
          <a:ext cx="5605113" cy="381880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29</xdr:row>
      <xdr:rowOff>172778</xdr:rowOff>
    </xdr:from>
    <xdr:to>
      <xdr:col>16</xdr:col>
      <xdr:colOff>454925</xdr:colOff>
      <xdr:row>49</xdr:row>
      <xdr:rowOff>171450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6259253"/>
          <a:ext cx="5665100" cy="38086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26</xdr:row>
      <xdr:rowOff>9526</xdr:rowOff>
    </xdr:from>
    <xdr:to>
      <xdr:col>6</xdr:col>
      <xdr:colOff>534838</xdr:colOff>
      <xdr:row>45</xdr:row>
      <xdr:rowOff>19050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781676"/>
          <a:ext cx="5125888" cy="3629024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26</xdr:row>
      <xdr:rowOff>9742</xdr:rowOff>
    </xdr:from>
    <xdr:to>
      <xdr:col>15</xdr:col>
      <xdr:colOff>300176</xdr:colOff>
      <xdr:row>45</xdr:row>
      <xdr:rowOff>0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1625" y="5781892"/>
          <a:ext cx="5091251" cy="36097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190499</xdr:colOff>
      <xdr:row>26</xdr:row>
      <xdr:rowOff>12048</xdr:rowOff>
    </xdr:from>
    <xdr:to>
      <xdr:col>17</xdr:col>
      <xdr:colOff>0</xdr:colOff>
      <xdr:row>44</xdr:row>
      <xdr:rowOff>5555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4" y="5765148"/>
          <a:ext cx="5857876" cy="3422507"/>
        </a:xfrm>
        <a:prstGeom prst="rect">
          <a:avLst/>
        </a:prstGeom>
      </xdr:spPr>
    </xdr:pic>
    <xdr:clientData/>
  </xdr:twoCellAnchor>
  <xdr:twoCellAnchor editAs="oneCell">
    <xdr:from>
      <xdr:col>0</xdr:col>
      <xdr:colOff>112932</xdr:colOff>
      <xdr:row>26</xdr:row>
      <xdr:rowOff>3600</xdr:rowOff>
    </xdr:from>
    <xdr:to>
      <xdr:col>7</xdr:col>
      <xdr:colOff>9525</xdr:colOff>
      <xdr:row>44</xdr:row>
      <xdr:rowOff>174</xdr:rowOff>
    </xdr:to>
    <xdr:pic>
      <xdr:nvPicPr>
        <xdr:cNvPr id="4" name="Paveikslėlis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752"/>
        <a:stretch/>
      </xdr:blipFill>
      <xdr:spPr>
        <a:xfrm>
          <a:off x="112932" y="5756700"/>
          <a:ext cx="5525868" cy="3425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27</xdr:row>
      <xdr:rowOff>9525</xdr:rowOff>
    </xdr:from>
    <xdr:to>
      <xdr:col>5</xdr:col>
      <xdr:colOff>514350</xdr:colOff>
      <xdr:row>44</xdr:row>
      <xdr:rowOff>0</xdr:rowOff>
    </xdr:to>
    <xdr:pic>
      <xdr:nvPicPr>
        <xdr:cNvPr id="6" name="Paveikslėlis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76" r="9489"/>
        <a:stretch/>
      </xdr:blipFill>
      <xdr:spPr>
        <a:xfrm>
          <a:off x="200025" y="6162675"/>
          <a:ext cx="4524375" cy="3228975"/>
        </a:xfrm>
        <a:prstGeom prst="rect">
          <a:avLst/>
        </a:prstGeom>
      </xdr:spPr>
    </xdr:pic>
    <xdr:clientData/>
  </xdr:twoCellAnchor>
  <xdr:twoCellAnchor editAs="oneCell">
    <xdr:from>
      <xdr:col>6</xdr:col>
      <xdr:colOff>62193</xdr:colOff>
      <xdr:row>27</xdr:row>
      <xdr:rowOff>9524</xdr:rowOff>
    </xdr:from>
    <xdr:to>
      <xdr:col>14</xdr:col>
      <xdr:colOff>365313</xdr:colOff>
      <xdr:row>44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1843" y="6162674"/>
          <a:ext cx="5922870" cy="32480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143037</xdr:colOff>
      <xdr:row>25</xdr:row>
      <xdr:rowOff>190499</xdr:rowOff>
    </xdr:from>
    <xdr:to>
      <xdr:col>15</xdr:col>
      <xdr:colOff>151441</xdr:colOff>
      <xdr:row>43</xdr:row>
      <xdr:rowOff>9524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562" y="6115049"/>
          <a:ext cx="5904379" cy="32480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144411</xdr:colOff>
      <xdr:row>26</xdr:row>
      <xdr:rowOff>1</xdr:rowOff>
    </xdr:from>
    <xdr:to>
      <xdr:col>6</xdr:col>
      <xdr:colOff>569672</xdr:colOff>
      <xdr:row>43</xdr:row>
      <xdr:rowOff>9525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11" y="6115051"/>
          <a:ext cx="5559236" cy="32480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26</xdr:row>
      <xdr:rowOff>3588</xdr:rowOff>
    </xdr:from>
    <xdr:to>
      <xdr:col>5</xdr:col>
      <xdr:colOff>724485</xdr:colOff>
      <xdr:row>43</xdr:row>
      <xdr:rowOff>0</xdr:rowOff>
    </xdr:to>
    <xdr:pic>
      <xdr:nvPicPr>
        <xdr:cNvPr id="4" name="Paveikslėlis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70" r="6316"/>
        <a:stretch/>
      </xdr:blipFill>
      <xdr:spPr>
        <a:xfrm>
          <a:off x="95249" y="5918613"/>
          <a:ext cx="4886911" cy="3234912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885824</xdr:colOff>
      <xdr:row>26</xdr:row>
      <xdr:rowOff>9525</xdr:rowOff>
    </xdr:from>
    <xdr:to>
      <xdr:col>12</xdr:col>
      <xdr:colOff>800099</xdr:colOff>
      <xdr:row>43</xdr:row>
      <xdr:rowOff>10319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499" y="5924550"/>
          <a:ext cx="5553075" cy="3239294"/>
        </a:xfrm>
        <a:prstGeom prst="rect">
          <a:avLst/>
        </a:prstGeom>
      </xdr:spPr>
    </xdr:pic>
    <xdr:clientData/>
  </xdr:twoCellAnchor>
  <xdr:twoCellAnchor editAs="oneCell">
    <xdr:from>
      <xdr:col>12</xdr:col>
      <xdr:colOff>970320</xdr:colOff>
      <xdr:row>26</xdr:row>
      <xdr:rowOff>8397</xdr:rowOff>
    </xdr:from>
    <xdr:to>
      <xdr:col>19</xdr:col>
      <xdr:colOff>409574</xdr:colOff>
      <xdr:row>42</xdr:row>
      <xdr:rowOff>188844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66795" y="5923422"/>
          <a:ext cx="5525729" cy="32284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24</xdr:row>
      <xdr:rowOff>189384</xdr:rowOff>
    </xdr:from>
    <xdr:to>
      <xdr:col>7</xdr:col>
      <xdr:colOff>156648</xdr:colOff>
      <xdr:row>44</xdr:row>
      <xdr:rowOff>190499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5532909"/>
          <a:ext cx="5585899" cy="3811115"/>
        </a:xfrm>
        <a:prstGeom prst="rect">
          <a:avLst/>
        </a:prstGeom>
      </xdr:spPr>
    </xdr:pic>
    <xdr:clientData/>
  </xdr:twoCellAnchor>
  <xdr:twoCellAnchor editAs="oneCell">
    <xdr:from>
      <xdr:col>7</xdr:col>
      <xdr:colOff>375429</xdr:colOff>
      <xdr:row>25</xdr:row>
      <xdr:rowOff>9525</xdr:rowOff>
    </xdr:from>
    <xdr:to>
      <xdr:col>16</xdr:col>
      <xdr:colOff>281673</xdr:colOff>
      <xdr:row>45</xdr:row>
      <xdr:rowOff>9525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9929" y="5543550"/>
          <a:ext cx="5440269" cy="381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238124</xdr:colOff>
      <xdr:row>25</xdr:row>
      <xdr:rowOff>177437</xdr:rowOff>
    </xdr:from>
    <xdr:to>
      <xdr:col>17</xdr:col>
      <xdr:colOff>390525</xdr:colOff>
      <xdr:row>43</xdr:row>
      <xdr:rowOff>7704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099" y="5578112"/>
          <a:ext cx="6210301" cy="3259267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552450</xdr:colOff>
      <xdr:row>25</xdr:row>
      <xdr:rowOff>177849</xdr:rowOff>
    </xdr:from>
    <xdr:to>
      <xdr:col>27</xdr:col>
      <xdr:colOff>285750</xdr:colOff>
      <xdr:row>43</xdr:row>
      <xdr:rowOff>9969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2325" y="5578524"/>
          <a:ext cx="5581650" cy="32611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180975</xdr:rowOff>
    </xdr:from>
    <xdr:to>
      <xdr:col>6</xdr:col>
      <xdr:colOff>76200</xdr:colOff>
      <xdr:row>43</xdr:row>
      <xdr:rowOff>4021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665" r="11131"/>
        <a:stretch/>
      </xdr:blipFill>
      <xdr:spPr>
        <a:xfrm>
          <a:off x="95250" y="5581650"/>
          <a:ext cx="4352925" cy="32520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26</xdr:row>
      <xdr:rowOff>190499</xdr:rowOff>
    </xdr:from>
    <xdr:to>
      <xdr:col>17</xdr:col>
      <xdr:colOff>114680</xdr:colOff>
      <xdr:row>43</xdr:row>
      <xdr:rowOff>187121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5514974"/>
          <a:ext cx="5553455" cy="324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27</xdr:row>
      <xdr:rowOff>0</xdr:rowOff>
    </xdr:from>
    <xdr:to>
      <xdr:col>7</xdr:col>
      <xdr:colOff>247650</xdr:colOff>
      <xdr:row>44</xdr:row>
      <xdr:rowOff>5296</xdr:rowOff>
    </xdr:to>
    <xdr:pic>
      <xdr:nvPicPr>
        <xdr:cNvPr id="3" name="Paveikslėlis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887" r="5415"/>
        <a:stretch/>
      </xdr:blipFill>
      <xdr:spPr>
        <a:xfrm>
          <a:off x="409575" y="5524500"/>
          <a:ext cx="4924425" cy="32437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26</xdr:row>
      <xdr:rowOff>0</xdr:rowOff>
    </xdr:from>
    <xdr:to>
      <xdr:col>4</xdr:col>
      <xdr:colOff>1019175</xdr:colOff>
      <xdr:row>45</xdr:row>
      <xdr:rowOff>12151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791200"/>
          <a:ext cx="5543551" cy="3631651"/>
        </a:xfrm>
        <a:prstGeom prst="rect">
          <a:avLst/>
        </a:prstGeom>
      </xdr:spPr>
    </xdr:pic>
    <xdr:clientData/>
  </xdr:twoCellAnchor>
  <xdr:twoCellAnchor editAs="oneCell">
    <xdr:from>
      <xdr:col>5</xdr:col>
      <xdr:colOff>15218</xdr:colOff>
      <xdr:row>26</xdr:row>
      <xdr:rowOff>12271</xdr:rowOff>
    </xdr:from>
    <xdr:to>
      <xdr:col>15</xdr:col>
      <xdr:colOff>178988</xdr:colOff>
      <xdr:row>45</xdr:row>
      <xdr:rowOff>1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993" y="5803471"/>
          <a:ext cx="6174045" cy="3607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26</xdr:row>
      <xdr:rowOff>9525</xdr:rowOff>
    </xdr:from>
    <xdr:to>
      <xdr:col>5</xdr:col>
      <xdr:colOff>459110</xdr:colOff>
      <xdr:row>43</xdr:row>
      <xdr:rowOff>0</xdr:rowOff>
    </xdr:to>
    <xdr:pic>
      <xdr:nvPicPr>
        <xdr:cNvPr id="4" name="Paveikslėlis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333" r="8693"/>
        <a:stretch/>
      </xdr:blipFill>
      <xdr:spPr>
        <a:xfrm>
          <a:off x="114300" y="5467350"/>
          <a:ext cx="4592960" cy="3228975"/>
        </a:xfrm>
        <a:prstGeom prst="rect">
          <a:avLst/>
        </a:prstGeom>
      </xdr:spPr>
    </xdr:pic>
    <xdr:clientData/>
  </xdr:twoCellAnchor>
  <xdr:twoCellAnchor editAs="oneCell">
    <xdr:from>
      <xdr:col>5</xdr:col>
      <xdr:colOff>608665</xdr:colOff>
      <xdr:row>26</xdr:row>
      <xdr:rowOff>9525</xdr:rowOff>
    </xdr:from>
    <xdr:to>
      <xdr:col>14</xdr:col>
      <xdr:colOff>439349</xdr:colOff>
      <xdr:row>43</xdr:row>
      <xdr:rowOff>1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6815" y="5467350"/>
          <a:ext cx="5526634" cy="32289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25</xdr:row>
      <xdr:rowOff>9525</xdr:rowOff>
    </xdr:from>
    <xdr:to>
      <xdr:col>6</xdr:col>
      <xdr:colOff>400050</xdr:colOff>
      <xdr:row>40</xdr:row>
      <xdr:rowOff>3176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5610225"/>
          <a:ext cx="5067301" cy="2955926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25</xdr:row>
      <xdr:rowOff>9525</xdr:rowOff>
    </xdr:from>
    <xdr:to>
      <xdr:col>14</xdr:col>
      <xdr:colOff>574048</xdr:colOff>
      <xdr:row>39</xdr:row>
      <xdr:rowOff>188715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2575" y="5610225"/>
          <a:ext cx="5050798" cy="295096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40</xdr:row>
      <xdr:rowOff>180974</xdr:rowOff>
    </xdr:from>
    <xdr:to>
      <xdr:col>6</xdr:col>
      <xdr:colOff>580506</xdr:colOff>
      <xdr:row>66</xdr:row>
      <xdr:rowOff>86837</xdr:rowOff>
    </xdr:to>
    <xdr:pic>
      <xdr:nvPicPr>
        <xdr:cNvPr id="7" name="Paveikslėlis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8743949"/>
          <a:ext cx="5276331" cy="4858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27</xdr:row>
      <xdr:rowOff>19049</xdr:rowOff>
    </xdr:from>
    <xdr:to>
      <xdr:col>6</xdr:col>
      <xdr:colOff>266701</xdr:colOff>
      <xdr:row>45</xdr:row>
      <xdr:rowOff>14646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077" r="11165"/>
        <a:stretch/>
      </xdr:blipFill>
      <xdr:spPr>
        <a:xfrm>
          <a:off x="28576" y="5972174"/>
          <a:ext cx="4724400" cy="35960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105490</xdr:colOff>
      <xdr:row>28</xdr:row>
      <xdr:rowOff>19050</xdr:rowOff>
    </xdr:from>
    <xdr:to>
      <xdr:col>8</xdr:col>
      <xdr:colOff>63684</xdr:colOff>
      <xdr:row>45</xdr:row>
      <xdr:rowOff>180975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0" y="6000750"/>
          <a:ext cx="5644619" cy="3667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26</xdr:row>
      <xdr:rowOff>475</xdr:rowOff>
    </xdr:from>
    <xdr:to>
      <xdr:col>6</xdr:col>
      <xdr:colOff>147399</xdr:colOff>
      <xdr:row>43</xdr:row>
      <xdr:rowOff>9525</xdr:rowOff>
    </xdr:to>
    <xdr:pic>
      <xdr:nvPicPr>
        <xdr:cNvPr id="3" name="Paveikslėlis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r="6795"/>
        <a:stretch/>
      </xdr:blipFill>
      <xdr:spPr>
        <a:xfrm>
          <a:off x="142875" y="5801200"/>
          <a:ext cx="4786074" cy="3247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O31"/>
  <sheetViews>
    <sheetView tabSelected="1" topLeftCell="A13" workbookViewId="0">
      <selection activeCell="V18" sqref="V18"/>
    </sheetView>
  </sheetViews>
  <sheetFormatPr defaultRowHeight="15" x14ac:dyDescent="0.25"/>
  <cols>
    <col min="1" max="1" width="5.5703125" customWidth="1"/>
    <col min="2" max="2" width="27" customWidth="1"/>
    <col min="3" max="3" width="9.5703125" customWidth="1"/>
    <col min="4" max="4" width="9" customWidth="1"/>
    <col min="5" max="5" width="8.42578125" customWidth="1"/>
    <col min="6" max="6" width="9.140625" customWidth="1"/>
    <col min="7" max="7" width="9.7109375" customWidth="1"/>
    <col min="8" max="8" width="8" customWidth="1"/>
    <col min="9" max="9" width="8.28515625" customWidth="1"/>
    <col min="10" max="10" width="8" customWidth="1"/>
    <col min="11" max="11" width="9.5703125" customWidth="1"/>
    <col min="12" max="12" width="10.7109375" customWidth="1"/>
    <col min="13" max="13" width="8.7109375" customWidth="1"/>
    <col min="14" max="14" width="11.140625" customWidth="1"/>
    <col min="15" max="15" width="14" customWidth="1"/>
  </cols>
  <sheetData>
    <row r="2" spans="1:15" x14ac:dyDescent="0.25">
      <c r="A2" s="103" t="s">
        <v>83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4" spans="1:15" ht="15.95" customHeight="1" x14ac:dyDescent="0.25">
      <c r="A4" s="94" t="s">
        <v>0</v>
      </c>
      <c r="B4" s="94" t="s">
        <v>1</v>
      </c>
      <c r="C4" s="97" t="s">
        <v>41</v>
      </c>
      <c r="D4" s="98"/>
      <c r="E4" s="98"/>
      <c r="F4" s="99"/>
      <c r="G4" s="97" t="s">
        <v>107</v>
      </c>
      <c r="H4" s="98"/>
      <c r="I4" s="98"/>
      <c r="J4" s="98"/>
      <c r="K4" s="111" t="s">
        <v>35</v>
      </c>
      <c r="L4" s="111"/>
      <c r="M4" s="111"/>
      <c r="N4" s="94" t="s">
        <v>33</v>
      </c>
      <c r="O4" s="94" t="s">
        <v>34</v>
      </c>
    </row>
    <row r="5" spans="1:15" ht="15.95" customHeight="1" x14ac:dyDescent="0.25">
      <c r="A5" s="95"/>
      <c r="B5" s="95"/>
      <c r="C5" s="100"/>
      <c r="D5" s="101"/>
      <c r="E5" s="101"/>
      <c r="F5" s="102"/>
      <c r="G5" s="100"/>
      <c r="H5" s="101"/>
      <c r="I5" s="101"/>
      <c r="J5" s="101"/>
      <c r="K5" s="111"/>
      <c r="L5" s="111"/>
      <c r="M5" s="111"/>
      <c r="N5" s="95"/>
      <c r="O5" s="95"/>
    </row>
    <row r="6" spans="1:15" ht="15.95" customHeight="1" x14ac:dyDescent="0.25">
      <c r="A6" s="96"/>
      <c r="B6" s="96"/>
      <c r="C6" s="1" t="s">
        <v>2</v>
      </c>
      <c r="D6" s="1" t="s">
        <v>3</v>
      </c>
      <c r="E6" s="1" t="s">
        <v>4</v>
      </c>
      <c r="F6" s="2" t="s">
        <v>5</v>
      </c>
      <c r="G6" s="1" t="s">
        <v>6</v>
      </c>
      <c r="H6" s="1" t="s">
        <v>3</v>
      </c>
      <c r="I6" s="1" t="s">
        <v>4</v>
      </c>
      <c r="J6" s="2" t="s">
        <v>5</v>
      </c>
      <c r="K6" s="2" t="s">
        <v>6</v>
      </c>
      <c r="L6" s="2" t="s">
        <v>4</v>
      </c>
      <c r="M6" s="2" t="s">
        <v>5</v>
      </c>
      <c r="N6" s="96"/>
      <c r="O6" s="96"/>
    </row>
    <row r="7" spans="1:15" ht="15.95" customHeight="1" x14ac:dyDescent="0.25">
      <c r="A7" s="110" t="s">
        <v>7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5" ht="15.95" customHeight="1" x14ac:dyDescent="0.25">
      <c r="A8" s="3" t="s">
        <v>8</v>
      </c>
      <c r="B8" s="4" t="s">
        <v>9</v>
      </c>
      <c r="C8" s="3">
        <v>149056</v>
      </c>
      <c r="D8" s="3">
        <v>149056</v>
      </c>
      <c r="E8" s="10">
        <v>149056</v>
      </c>
      <c r="F8" s="10" t="s">
        <v>11</v>
      </c>
      <c r="G8" s="63">
        <f>21388/149056*100</f>
        <v>14.348969514813225</v>
      </c>
      <c r="H8" s="63">
        <f>6027/149056*100</f>
        <v>4.0434467582653495</v>
      </c>
      <c r="I8" s="63">
        <f>13891/149056*100</f>
        <v>9.3193162301416912</v>
      </c>
      <c r="J8" s="63" t="s">
        <v>11</v>
      </c>
      <c r="K8" s="66">
        <f>C8/12</f>
        <v>12421.333333333334</v>
      </c>
      <c r="L8" s="10">
        <f>E8/11</f>
        <v>13550.545454545454</v>
      </c>
      <c r="M8" s="66" t="s">
        <v>11</v>
      </c>
      <c r="N8" s="67">
        <f>21388/C8</f>
        <v>0.14348969514813226</v>
      </c>
      <c r="O8" s="63">
        <f>57/21388*1000</f>
        <v>2.6650458200860294</v>
      </c>
    </row>
    <row r="9" spans="1:15" ht="15.95" customHeight="1" x14ac:dyDescent="0.25">
      <c r="A9" s="3" t="s">
        <v>12</v>
      </c>
      <c r="B9" s="4" t="s">
        <v>13</v>
      </c>
      <c r="C9" s="3">
        <v>62648</v>
      </c>
      <c r="D9" s="10">
        <v>14316</v>
      </c>
      <c r="E9" s="10">
        <v>1217</v>
      </c>
      <c r="F9" s="10">
        <v>47115</v>
      </c>
      <c r="G9" s="63">
        <f>10143/62648*100</f>
        <v>16.190460988379517</v>
      </c>
      <c r="H9" s="63">
        <f>2745/14316*100</f>
        <v>19.174350377200337</v>
      </c>
      <c r="I9" s="63">
        <f>654/1217*100</f>
        <v>53.738701725554641</v>
      </c>
      <c r="J9" s="63">
        <f>6744/47115*100</f>
        <v>14.313912766634829</v>
      </c>
      <c r="K9" s="66">
        <f>C9/26</f>
        <v>2409.5384615384614</v>
      </c>
      <c r="L9" s="10">
        <f>E9/1</f>
        <v>1217</v>
      </c>
      <c r="M9" s="66">
        <f>F9/24</f>
        <v>1963.125</v>
      </c>
      <c r="N9" s="67">
        <f>10143/C9</f>
        <v>0.16190460988379518</v>
      </c>
      <c r="O9" s="67">
        <f>45/10143*1000</f>
        <v>4.4365572315882877</v>
      </c>
    </row>
    <row r="10" spans="1:15" ht="15.95" customHeight="1" x14ac:dyDescent="0.25">
      <c r="A10" s="3" t="s">
        <v>14</v>
      </c>
      <c r="B10" s="4" t="s">
        <v>15</v>
      </c>
      <c r="C10" s="3">
        <v>37323</v>
      </c>
      <c r="D10" s="10">
        <v>16495</v>
      </c>
      <c r="E10" s="10">
        <v>1336</v>
      </c>
      <c r="F10" s="10">
        <v>19492</v>
      </c>
      <c r="G10" s="63">
        <f>5394/37323*100</f>
        <v>14.452214452214452</v>
      </c>
      <c r="H10" s="63">
        <f>5394/16495*100</f>
        <v>32.700818429827223</v>
      </c>
      <c r="I10" s="66">
        <v>0</v>
      </c>
      <c r="J10" s="66">
        <v>0</v>
      </c>
      <c r="K10" s="66">
        <f>C10/20</f>
        <v>1866.15</v>
      </c>
      <c r="L10" s="10">
        <f>E10/1</f>
        <v>1336</v>
      </c>
      <c r="M10" s="66">
        <f>F10/18</f>
        <v>1082.8888888888889</v>
      </c>
      <c r="N10" s="67">
        <f>5394/C10</f>
        <v>0.14452214452214451</v>
      </c>
      <c r="O10" s="63">
        <f>42/5394*1000</f>
        <v>7.7864293659621797</v>
      </c>
    </row>
    <row r="11" spans="1:15" ht="15.95" customHeight="1" x14ac:dyDescent="0.25">
      <c r="A11" s="3" t="s">
        <v>16</v>
      </c>
      <c r="B11" s="4" t="s">
        <v>17</v>
      </c>
      <c r="C11" s="3">
        <v>3609</v>
      </c>
      <c r="D11" s="10">
        <v>2689</v>
      </c>
      <c r="E11" s="10">
        <v>920</v>
      </c>
      <c r="F11" s="10" t="s">
        <v>11</v>
      </c>
      <c r="G11" s="63">
        <f>1267/3609*100</f>
        <v>35.106677750069274</v>
      </c>
      <c r="H11" s="63">
        <f>704/2689*100</f>
        <v>26.180736333209371</v>
      </c>
      <c r="I11" s="63">
        <f>563/920*100</f>
        <v>61.195652173913039</v>
      </c>
      <c r="J11" s="63" t="s">
        <v>11</v>
      </c>
      <c r="K11" s="66">
        <f>C11/3</f>
        <v>1203</v>
      </c>
      <c r="L11" s="10">
        <f>E11/2</f>
        <v>460</v>
      </c>
      <c r="M11" s="66" t="s">
        <v>11</v>
      </c>
      <c r="N11" s="67">
        <f>1267/C11</f>
        <v>0.35106677750069271</v>
      </c>
      <c r="O11" s="63">
        <f>8/1267*1000</f>
        <v>6.3141278610891867</v>
      </c>
    </row>
    <row r="12" spans="1:15" ht="15.95" customHeight="1" x14ac:dyDescent="0.25">
      <c r="A12" s="3" t="s">
        <v>18</v>
      </c>
      <c r="B12" s="4" t="s">
        <v>19</v>
      </c>
      <c r="C12" s="3">
        <v>16429</v>
      </c>
      <c r="D12" s="3">
        <v>16429</v>
      </c>
      <c r="E12" s="10" t="s">
        <v>11</v>
      </c>
      <c r="F12" s="10" t="s">
        <v>11</v>
      </c>
      <c r="G12" s="63">
        <f>4382/16429*100</f>
        <v>26.672347677886666</v>
      </c>
      <c r="H12" s="63">
        <f>4382/16429*100</f>
        <v>26.672347677886666</v>
      </c>
      <c r="I12" s="63" t="s">
        <v>11</v>
      </c>
      <c r="J12" s="63" t="s">
        <v>11</v>
      </c>
      <c r="K12" s="66">
        <f>C12/3</f>
        <v>5476.333333333333</v>
      </c>
      <c r="L12" s="10" t="s">
        <v>11</v>
      </c>
      <c r="M12" s="66" t="s">
        <v>11</v>
      </c>
      <c r="N12" s="67">
        <f>4382/C12</f>
        <v>0.26672347677886665</v>
      </c>
      <c r="O12" s="67">
        <f>23/4382*1000</f>
        <v>5.248744865358284</v>
      </c>
    </row>
    <row r="13" spans="1:15" ht="15.95" customHeight="1" x14ac:dyDescent="0.25">
      <c r="A13" s="3" t="s">
        <v>20</v>
      </c>
      <c r="B13" s="4" t="s">
        <v>21</v>
      </c>
      <c r="C13" s="3">
        <v>15665</v>
      </c>
      <c r="D13" s="10">
        <v>5037</v>
      </c>
      <c r="E13" s="10" t="s">
        <v>10</v>
      </c>
      <c r="F13" s="10">
        <v>10628</v>
      </c>
      <c r="G13" s="63">
        <f>3770/15665*100</f>
        <v>24.066390041493776</v>
      </c>
      <c r="H13" s="63">
        <f>1158/5037*100</f>
        <v>22.989874925550925</v>
      </c>
      <c r="I13" s="63" t="s">
        <v>10</v>
      </c>
      <c r="J13" s="63">
        <f>2440/10628*100</f>
        <v>22.958223560406473</v>
      </c>
      <c r="K13" s="66">
        <f>C13/20</f>
        <v>783.25</v>
      </c>
      <c r="L13" s="10" t="s">
        <v>10</v>
      </c>
      <c r="M13" s="66">
        <f>F13/13</f>
        <v>817.53846153846155</v>
      </c>
      <c r="N13" s="67">
        <f>3770/C13</f>
        <v>0.24066390041493776</v>
      </c>
      <c r="O13" s="67">
        <f>32/3770*1000</f>
        <v>8.4880636604774526</v>
      </c>
    </row>
    <row r="14" spans="1:15" ht="15.95" customHeight="1" x14ac:dyDescent="0.25">
      <c r="A14" s="3" t="s">
        <v>22</v>
      </c>
      <c r="B14" s="4" t="s">
        <v>23</v>
      </c>
      <c r="C14" s="3">
        <v>37087</v>
      </c>
      <c r="D14" s="10">
        <v>14866</v>
      </c>
      <c r="E14" s="10" t="s">
        <v>11</v>
      </c>
      <c r="F14" s="10">
        <v>22221</v>
      </c>
      <c r="G14" s="63">
        <f>5162/37087*100</f>
        <v>13.918623776525468</v>
      </c>
      <c r="H14" s="63">
        <f>5162/14866*100</f>
        <v>34.723530203148123</v>
      </c>
      <c r="I14" s="63" t="s">
        <v>11</v>
      </c>
      <c r="J14" s="63" t="s">
        <v>11</v>
      </c>
      <c r="K14" s="66">
        <f>C14/22</f>
        <v>1685.7727272727273</v>
      </c>
      <c r="L14" s="10" t="s">
        <v>11</v>
      </c>
      <c r="M14" s="66">
        <f>F14/21</f>
        <v>1058.1428571428571</v>
      </c>
      <c r="N14" s="67">
        <f>5162/C14</f>
        <v>0.13918623776525468</v>
      </c>
      <c r="O14" s="63">
        <f>54/5162*1000</f>
        <v>10.461061604029446</v>
      </c>
    </row>
    <row r="15" spans="1:15" ht="15.95" customHeight="1" x14ac:dyDescent="0.25">
      <c r="A15" s="108" t="s">
        <v>30</v>
      </c>
      <c r="B15" s="109"/>
      <c r="C15" s="46">
        <f>SUM(C8:C14)</f>
        <v>321817</v>
      </c>
      <c r="D15" s="52">
        <f>SUM(D8:D14)</f>
        <v>218888</v>
      </c>
      <c r="E15" s="52">
        <f>SUM(E9:E11)</f>
        <v>3473</v>
      </c>
      <c r="F15" s="52">
        <f>SUM(F9:F14)</f>
        <v>99456</v>
      </c>
      <c r="G15" s="64">
        <f>SUM(G8:G14)</f>
        <v>144.75568420138239</v>
      </c>
      <c r="H15" s="64">
        <f>SUM(H8:H14)</f>
        <v>166.48510470508799</v>
      </c>
      <c r="I15" s="64">
        <f>SUM(I9:I11)</f>
        <v>114.93435389946768</v>
      </c>
      <c r="J15" s="64">
        <f>SUM(J9:J14)</f>
        <v>37.272136327041302</v>
      </c>
      <c r="K15" s="53">
        <f>SUM(K8:K14)</f>
        <v>25845.377855477855</v>
      </c>
      <c r="L15" s="52">
        <f>SUM(L9:L11)</f>
        <v>3013</v>
      </c>
      <c r="M15" s="53">
        <f>SUM(M9:M14)</f>
        <v>4921.6952075702075</v>
      </c>
      <c r="N15" s="68">
        <f>SUM(N8:N14)</f>
        <v>1.4475568420138236</v>
      </c>
      <c r="O15" s="64">
        <f>SUM(O8:O14)</f>
        <v>45.400030408590865</v>
      </c>
    </row>
    <row r="16" spans="1:15" ht="15.95" customHeight="1" x14ac:dyDescent="0.25">
      <c r="A16" s="106" t="s">
        <v>32</v>
      </c>
      <c r="B16" s="107"/>
      <c r="C16" s="47">
        <f>C15/7</f>
        <v>45973.857142857145</v>
      </c>
      <c r="D16" s="53">
        <f>D15/7</f>
        <v>31269.714285714286</v>
      </c>
      <c r="E16" s="53">
        <f>E15/3</f>
        <v>1157.6666666666667</v>
      </c>
      <c r="F16" s="53">
        <f>F15/4</f>
        <v>24864</v>
      </c>
      <c r="G16" s="64">
        <f>G15/7</f>
        <v>20.679383457340343</v>
      </c>
      <c r="H16" s="64">
        <f>H15/7</f>
        <v>23.78358638644114</v>
      </c>
      <c r="I16" s="64">
        <f>I15/3</f>
        <v>38.311451299822558</v>
      </c>
      <c r="J16" s="64">
        <f>J15/4</f>
        <v>9.3180340817603255</v>
      </c>
      <c r="K16" s="53">
        <f>K15/7</f>
        <v>3692.1968364968366</v>
      </c>
      <c r="L16" s="52">
        <f>L15/3</f>
        <v>1004.3333333333334</v>
      </c>
      <c r="M16" s="53">
        <f>M15/4</f>
        <v>1230.4238018925519</v>
      </c>
      <c r="N16" s="68">
        <f>N15/7</f>
        <v>0.20679383457340336</v>
      </c>
      <c r="O16" s="64">
        <f>O15/7</f>
        <v>6.4857186297986953</v>
      </c>
    </row>
    <row r="17" spans="1:15" ht="15.95" customHeight="1" x14ac:dyDescent="0.25">
      <c r="A17" s="110" t="s">
        <v>24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1:15" ht="15.95" customHeight="1" x14ac:dyDescent="0.25">
      <c r="A18" s="3" t="s">
        <v>8</v>
      </c>
      <c r="B18" s="4" t="s">
        <v>25</v>
      </c>
      <c r="C18" s="15">
        <v>24236</v>
      </c>
      <c r="D18" s="16">
        <v>9577</v>
      </c>
      <c r="E18" s="16">
        <v>419</v>
      </c>
      <c r="F18" s="16">
        <v>14240</v>
      </c>
      <c r="G18" s="20">
        <f>7110/24236*100</f>
        <v>29.336524178907407</v>
      </c>
      <c r="H18" s="20">
        <f>3589/9577*100</f>
        <v>37.47520100240159</v>
      </c>
      <c r="I18" s="20">
        <f>189/419*100</f>
        <v>45.107398568019093</v>
      </c>
      <c r="J18" s="20">
        <f>3332/14240*100</f>
        <v>23.398876404494381</v>
      </c>
      <c r="K18" s="45">
        <f>C18/25</f>
        <v>969.44</v>
      </c>
      <c r="L18" s="16">
        <f>E18/1</f>
        <v>419</v>
      </c>
      <c r="M18" s="45">
        <f>F18/23</f>
        <v>619.13043478260875</v>
      </c>
      <c r="N18" s="69">
        <f>7110/C18</f>
        <v>0.29336524178907408</v>
      </c>
      <c r="O18" s="20">
        <f>41/7110*1000</f>
        <v>5.766526019690577</v>
      </c>
    </row>
    <row r="19" spans="1:15" ht="15.95" customHeight="1" x14ac:dyDescent="0.25">
      <c r="A19" s="3" t="s">
        <v>12</v>
      </c>
      <c r="B19" s="4" t="s">
        <v>26</v>
      </c>
      <c r="C19" s="15">
        <v>7126</v>
      </c>
      <c r="D19" s="16">
        <v>1525</v>
      </c>
      <c r="E19" s="16" t="s">
        <v>11</v>
      </c>
      <c r="F19" s="16">
        <v>5601</v>
      </c>
      <c r="G19" s="20">
        <f>947/7126*100</f>
        <v>13.289362896435589</v>
      </c>
      <c r="H19" s="63">
        <v>0</v>
      </c>
      <c r="I19" s="20" t="s">
        <v>11</v>
      </c>
      <c r="J19" s="20">
        <f>947/5601*100</f>
        <v>16.90769505445456</v>
      </c>
      <c r="K19" s="45">
        <f>C19/9</f>
        <v>791.77777777777783</v>
      </c>
      <c r="L19" s="16" t="s">
        <v>11</v>
      </c>
      <c r="M19" s="45">
        <f>F19/8</f>
        <v>700.125</v>
      </c>
      <c r="N19" s="69">
        <f>947/C19</f>
        <v>0.13289362896435589</v>
      </c>
      <c r="O19" s="20">
        <f>15/947*1000</f>
        <v>15.839493136219639</v>
      </c>
    </row>
    <row r="20" spans="1:15" ht="15.95" customHeight="1" x14ac:dyDescent="0.25">
      <c r="A20" s="3" t="s">
        <v>14</v>
      </c>
      <c r="B20" s="4" t="s">
        <v>27</v>
      </c>
      <c r="C20" s="15">
        <v>21436</v>
      </c>
      <c r="D20" s="16">
        <v>4612</v>
      </c>
      <c r="E20" s="16" t="s">
        <v>11</v>
      </c>
      <c r="F20" s="16">
        <v>16824</v>
      </c>
      <c r="G20" s="20">
        <f>4276/21436*100</f>
        <v>19.947751446165331</v>
      </c>
      <c r="H20" s="20">
        <f>1392/4612*100</f>
        <v>30.182133564614048</v>
      </c>
      <c r="I20" s="20" t="s">
        <v>11</v>
      </c>
      <c r="J20" s="20">
        <f>2884/16824*100</f>
        <v>17.142177841179269</v>
      </c>
      <c r="K20" s="45">
        <f>C20/24</f>
        <v>893.16666666666663</v>
      </c>
      <c r="L20" s="16" t="s">
        <v>11</v>
      </c>
      <c r="M20" s="45">
        <f>F20/23</f>
        <v>731.47826086956525</v>
      </c>
      <c r="N20" s="69">
        <f>4276/C20</f>
        <v>0.19947751446165329</v>
      </c>
      <c r="O20" s="69">
        <f>36/4276*1000</f>
        <v>8.4190832553788599</v>
      </c>
    </row>
    <row r="21" spans="1:15" ht="15.95" customHeight="1" x14ac:dyDescent="0.25">
      <c r="A21" s="3" t="s">
        <v>16</v>
      </c>
      <c r="B21" s="4" t="s">
        <v>28</v>
      </c>
      <c r="C21" s="15">
        <v>37331</v>
      </c>
      <c r="D21" s="16">
        <v>21280</v>
      </c>
      <c r="E21" s="16">
        <v>1378</v>
      </c>
      <c r="F21" s="16">
        <v>14673</v>
      </c>
      <c r="G21" s="20">
        <f>5422/37331*100</f>
        <v>14.524122043341995</v>
      </c>
      <c r="H21" s="20">
        <f>5422/21280*100</f>
        <v>25.479323308270679</v>
      </c>
      <c r="I21" s="66">
        <v>0</v>
      </c>
      <c r="J21" s="66">
        <v>0</v>
      </c>
      <c r="K21" s="45">
        <f>C21/29</f>
        <v>1287.2758620689656</v>
      </c>
      <c r="L21" s="16">
        <f>E21/2</f>
        <v>689</v>
      </c>
      <c r="M21" s="45">
        <f>F21/24</f>
        <v>611.375</v>
      </c>
      <c r="N21" s="69">
        <f>5422/C21</f>
        <v>0.14524122043341994</v>
      </c>
      <c r="O21" s="20">
        <f>50/5422*1000</f>
        <v>9.2216894135005525</v>
      </c>
    </row>
    <row r="22" spans="1:15" ht="15.95" customHeight="1" x14ac:dyDescent="0.25">
      <c r="A22" s="108" t="s">
        <v>30</v>
      </c>
      <c r="B22" s="109"/>
      <c r="C22" s="48">
        <f t="shared" ref="C22:O22" si="0">SUM(C18:C21)</f>
        <v>90129</v>
      </c>
      <c r="D22" s="54">
        <f t="shared" si="0"/>
        <v>36994</v>
      </c>
      <c r="E22" s="54">
        <f t="shared" si="0"/>
        <v>1797</v>
      </c>
      <c r="F22" s="54">
        <f t="shared" si="0"/>
        <v>51338</v>
      </c>
      <c r="G22" s="21">
        <f t="shared" si="0"/>
        <v>77.097760564850319</v>
      </c>
      <c r="H22" s="21">
        <f t="shared" si="0"/>
        <v>93.136657875286318</v>
      </c>
      <c r="I22" s="21">
        <f t="shared" si="0"/>
        <v>45.107398568019093</v>
      </c>
      <c r="J22" s="21">
        <f t="shared" si="0"/>
        <v>57.448749300128206</v>
      </c>
      <c r="K22" s="21">
        <f t="shared" si="0"/>
        <v>3941.66030651341</v>
      </c>
      <c r="L22" s="54">
        <f t="shared" si="0"/>
        <v>1108</v>
      </c>
      <c r="M22" s="21">
        <f t="shared" si="0"/>
        <v>2662.108695652174</v>
      </c>
      <c r="N22" s="38">
        <f t="shared" si="0"/>
        <v>0.77097760564850315</v>
      </c>
      <c r="O22" s="39">
        <f t="shared" si="0"/>
        <v>39.246791824789625</v>
      </c>
    </row>
    <row r="23" spans="1:15" ht="15.95" customHeight="1" x14ac:dyDescent="0.25">
      <c r="A23" s="106" t="s">
        <v>32</v>
      </c>
      <c r="B23" s="107"/>
      <c r="C23" s="49">
        <f t="shared" ref="C23:F23" si="1">C22/4</f>
        <v>22532.25</v>
      </c>
      <c r="D23" s="21">
        <f t="shared" si="1"/>
        <v>9248.5</v>
      </c>
      <c r="E23" s="21">
        <f>E22/2</f>
        <v>898.5</v>
      </c>
      <c r="F23" s="21">
        <f t="shared" si="1"/>
        <v>12834.5</v>
      </c>
      <c r="G23" s="21">
        <f>G22/4</f>
        <v>19.27444014121258</v>
      </c>
      <c r="H23" s="21">
        <f>H22/4</f>
        <v>23.284164468821579</v>
      </c>
      <c r="I23" s="21">
        <f>I22/2</f>
        <v>22.553699284009546</v>
      </c>
      <c r="J23" s="21">
        <f>J22/4</f>
        <v>14.362187325032052</v>
      </c>
      <c r="K23" s="21">
        <f>K22/4</f>
        <v>985.41507662835249</v>
      </c>
      <c r="L23" s="54">
        <f>L22/2</f>
        <v>554</v>
      </c>
      <c r="M23" s="21">
        <f>M22/4</f>
        <v>665.5271739130435</v>
      </c>
      <c r="N23" s="38">
        <f>N22/4</f>
        <v>0.19274440141212579</v>
      </c>
      <c r="O23" s="39">
        <f>O22/4</f>
        <v>9.8116979561974063</v>
      </c>
    </row>
    <row r="24" spans="1:15" ht="27.75" customHeight="1" x14ac:dyDescent="0.25">
      <c r="A24" s="104" t="s">
        <v>29</v>
      </c>
      <c r="B24" s="105"/>
      <c r="C24" s="50">
        <f>SUM(C15,C22)</f>
        <v>411946</v>
      </c>
      <c r="D24" s="50">
        <f>SUM(D15,D22)</f>
        <v>255882</v>
      </c>
      <c r="E24" s="50">
        <f>SUM(E15,E22)</f>
        <v>5270</v>
      </c>
      <c r="F24" s="50">
        <f>SUM(F15,F22)</f>
        <v>150794</v>
      </c>
      <c r="G24" s="65">
        <f>SUM(G15,G22)</f>
        <v>221.85344476623271</v>
      </c>
      <c r="H24" s="65">
        <f>H15+H22</f>
        <v>259.62176258037431</v>
      </c>
      <c r="I24" s="65">
        <f t="shared" ref="I24:O24" si="2">SUM(I15,I22)</f>
        <v>160.04175246748679</v>
      </c>
      <c r="J24" s="65">
        <f t="shared" si="2"/>
        <v>94.720885627169508</v>
      </c>
      <c r="K24" s="51">
        <f t="shared" si="2"/>
        <v>29787.038161991266</v>
      </c>
      <c r="L24" s="50">
        <f t="shared" si="2"/>
        <v>4121</v>
      </c>
      <c r="M24" s="51">
        <f t="shared" si="2"/>
        <v>7583.8039032223815</v>
      </c>
      <c r="N24" s="70">
        <f t="shared" si="2"/>
        <v>2.2185344476623268</v>
      </c>
      <c r="O24" s="51">
        <f t="shared" si="2"/>
        <v>84.64682223338049</v>
      </c>
    </row>
    <row r="25" spans="1:15" ht="31.5" customHeight="1" x14ac:dyDescent="0.25">
      <c r="A25" s="104" t="s">
        <v>31</v>
      </c>
      <c r="B25" s="105"/>
      <c r="C25" s="51">
        <f>C24/11</f>
        <v>37449.63636363636</v>
      </c>
      <c r="D25" s="51">
        <f>D24/11</f>
        <v>23262</v>
      </c>
      <c r="E25" s="51">
        <f>E24/5</f>
        <v>1054</v>
      </c>
      <c r="F25" s="51">
        <f>F24/8</f>
        <v>18849.25</v>
      </c>
      <c r="G25" s="65">
        <f>G24/11</f>
        <v>20.168494978748427</v>
      </c>
      <c r="H25" s="65">
        <f>H24/11</f>
        <v>23.601978416397664</v>
      </c>
      <c r="I25" s="65">
        <f>I24/5</f>
        <v>32.00835049349736</v>
      </c>
      <c r="J25" s="65">
        <f>J24/8</f>
        <v>11.840110703396189</v>
      </c>
      <c r="K25" s="51">
        <f>K24/11</f>
        <v>2707.9125601810242</v>
      </c>
      <c r="L25" s="51">
        <f>L24/5</f>
        <v>824.2</v>
      </c>
      <c r="M25" s="51">
        <f>M24/8</f>
        <v>947.97548790279768</v>
      </c>
      <c r="N25" s="70">
        <f>N24/11</f>
        <v>0.20168494978748425</v>
      </c>
      <c r="O25" s="65">
        <f>O24/11</f>
        <v>7.6951656575800449</v>
      </c>
    </row>
    <row r="27" spans="1:15" x14ac:dyDescent="0.25">
      <c r="A27" s="93" t="s">
        <v>84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</row>
    <row r="28" spans="1:15" x14ac:dyDescent="0.25">
      <c r="A28" s="93" t="s">
        <v>40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</row>
    <row r="29" spans="1:15" x14ac:dyDescent="0.25">
      <c r="A29" s="92" t="s">
        <v>106</v>
      </c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</row>
    <row r="30" spans="1:1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</row>
    <row r="31" spans="1: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</sheetData>
  <mergeCells count="19">
    <mergeCell ref="A2:O2"/>
    <mergeCell ref="N4:N6"/>
    <mergeCell ref="O4:O6"/>
    <mergeCell ref="A25:B25"/>
    <mergeCell ref="A16:B16"/>
    <mergeCell ref="A23:B23"/>
    <mergeCell ref="A15:B15"/>
    <mergeCell ref="A22:B22"/>
    <mergeCell ref="A24:B24"/>
    <mergeCell ref="A7:O7"/>
    <mergeCell ref="A17:O17"/>
    <mergeCell ref="K4:M5"/>
    <mergeCell ref="A29:O29"/>
    <mergeCell ref="A27:O27"/>
    <mergeCell ref="A28:O28"/>
    <mergeCell ref="A4:A6"/>
    <mergeCell ref="B4:B6"/>
    <mergeCell ref="C4:F5"/>
    <mergeCell ref="G4:J5"/>
  </mergeCells>
  <pageMargins left="0.70000000000000007" right="0.70000000000000007" top="0.75" bottom="0.75" header="0.30000000000000004" footer="0.30000000000000004"/>
  <pageSetup orientation="portrait" r:id="rId1"/>
  <ignoredErrors>
    <ignoredError sqref="M19 I23 H24 L23 E23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T25"/>
  <sheetViews>
    <sheetView workbookViewId="0">
      <selection activeCell="Q15" sqref="Q15"/>
    </sheetView>
  </sheetViews>
  <sheetFormatPr defaultRowHeight="15" x14ac:dyDescent="0.25"/>
  <cols>
    <col min="1" max="1" width="5.28515625" customWidth="1"/>
    <col min="2" max="2" width="27.42578125" customWidth="1"/>
    <col min="3" max="3" width="12" customWidth="1"/>
    <col min="4" max="4" width="8.5703125" customWidth="1"/>
    <col min="5" max="5" width="9" customWidth="1"/>
    <col min="6" max="6" width="8" customWidth="1"/>
    <col min="7" max="7" width="12.140625" customWidth="1"/>
    <col min="8" max="8" width="8.42578125" customWidth="1"/>
    <col min="9" max="9" width="8.140625" customWidth="1"/>
    <col min="10" max="10" width="7.85546875" customWidth="1"/>
  </cols>
  <sheetData>
    <row r="2" spans="1:12" ht="15.75" x14ac:dyDescent="0.25">
      <c r="A2" s="137" t="s">
        <v>58</v>
      </c>
      <c r="B2" s="137"/>
      <c r="C2" s="137"/>
      <c r="D2" s="137"/>
      <c r="E2" s="137"/>
      <c r="F2" s="137"/>
      <c r="G2" s="137"/>
      <c r="H2" s="137"/>
      <c r="I2" s="137"/>
      <c r="J2" s="137"/>
      <c r="K2" s="24"/>
      <c r="L2" s="24"/>
    </row>
    <row r="3" spans="1:12" ht="15.75" x14ac:dyDescent="0.25">
      <c r="A3" s="137" t="s">
        <v>100</v>
      </c>
      <c r="B3" s="137"/>
      <c r="C3" s="137"/>
      <c r="D3" s="137"/>
      <c r="E3" s="137"/>
      <c r="F3" s="137"/>
      <c r="G3" s="137"/>
      <c r="H3" s="137"/>
      <c r="I3" s="137"/>
      <c r="J3" s="137"/>
      <c r="K3" s="33"/>
      <c r="L3" s="33"/>
    </row>
    <row r="4" spans="1:12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2" ht="15.95" customHeight="1" x14ac:dyDescent="0.25">
      <c r="A5" s="111" t="s">
        <v>0</v>
      </c>
      <c r="B5" s="111" t="s">
        <v>1</v>
      </c>
      <c r="C5" s="124" t="s">
        <v>59</v>
      </c>
      <c r="D5" s="138"/>
      <c r="E5" s="138"/>
      <c r="F5" s="125"/>
      <c r="G5" s="124" t="s">
        <v>60</v>
      </c>
      <c r="H5" s="138"/>
      <c r="I5" s="138"/>
      <c r="J5" s="125"/>
    </row>
    <row r="6" spans="1:12" ht="30.75" customHeight="1" x14ac:dyDescent="0.25">
      <c r="A6" s="111"/>
      <c r="B6" s="111"/>
      <c r="C6" s="22" t="s">
        <v>47</v>
      </c>
      <c r="D6" s="22" t="s">
        <v>3</v>
      </c>
      <c r="E6" s="22" t="s">
        <v>45</v>
      </c>
      <c r="F6" s="22" t="s">
        <v>46</v>
      </c>
      <c r="G6" s="22" t="s">
        <v>47</v>
      </c>
      <c r="H6" s="22" t="s">
        <v>3</v>
      </c>
      <c r="I6" s="22" t="s">
        <v>45</v>
      </c>
      <c r="J6" s="22" t="s">
        <v>46</v>
      </c>
    </row>
    <row r="7" spans="1:12" ht="15.95" customHeight="1" x14ac:dyDescent="0.25">
      <c r="A7" s="25" t="s">
        <v>7</v>
      </c>
      <c r="B7" s="26"/>
      <c r="C7" s="27"/>
      <c r="D7" s="27"/>
      <c r="E7" s="27"/>
      <c r="F7" s="27"/>
      <c r="G7" s="27"/>
      <c r="H7" s="27"/>
      <c r="I7" s="27"/>
      <c r="J7" s="28"/>
    </row>
    <row r="8" spans="1:12" ht="15.95" customHeight="1" x14ac:dyDescent="0.25">
      <c r="A8" s="15" t="s">
        <v>8</v>
      </c>
      <c r="B8" s="18" t="s">
        <v>9</v>
      </c>
      <c r="C8" s="20">
        <f>501199/21388</f>
        <v>23.433654385636807</v>
      </c>
      <c r="D8" s="20">
        <f>164112/6027</f>
        <v>27.229467396714785</v>
      </c>
      <c r="E8" s="20">
        <f>337087/15361</f>
        <v>21.944339561226482</v>
      </c>
      <c r="F8" s="20" t="s">
        <v>11</v>
      </c>
      <c r="G8" s="20">
        <f>282443/21388</f>
        <v>13.205676080044885</v>
      </c>
      <c r="H8" s="20">
        <f>88242/6027</f>
        <v>14.641114982578397</v>
      </c>
      <c r="I8" s="20">
        <f>194201/15361</f>
        <v>12.642471193281688</v>
      </c>
      <c r="J8" s="20" t="s">
        <v>11</v>
      </c>
    </row>
    <row r="9" spans="1:12" ht="15.95" customHeight="1" x14ac:dyDescent="0.25">
      <c r="A9" s="15" t="s">
        <v>12</v>
      </c>
      <c r="B9" s="18" t="s">
        <v>13</v>
      </c>
      <c r="C9" s="20">
        <f>198271/10143</f>
        <v>19.547569752538696</v>
      </c>
      <c r="D9" s="20">
        <f>28614/2745</f>
        <v>10.424043715846995</v>
      </c>
      <c r="E9" s="20">
        <f>17306/654</f>
        <v>26.461773700305809</v>
      </c>
      <c r="F9" s="20">
        <f>152351/6744</f>
        <v>22.590599051008304</v>
      </c>
      <c r="G9" s="20">
        <f>135444/10143</f>
        <v>13.353445726116533</v>
      </c>
      <c r="H9" s="20">
        <f>34022/2745</f>
        <v>12.394171220400729</v>
      </c>
      <c r="I9" s="20">
        <f>9042/654</f>
        <v>13.825688073394495</v>
      </c>
      <c r="J9" s="20">
        <f>92380/6744</f>
        <v>13.698102016607354</v>
      </c>
    </row>
    <row r="10" spans="1:12" ht="15.95" customHeight="1" x14ac:dyDescent="0.25">
      <c r="A10" s="15" t="s">
        <v>14</v>
      </c>
      <c r="B10" s="18" t="s">
        <v>15</v>
      </c>
      <c r="C10" s="20">
        <f>149164/5394</f>
        <v>27.653689284390062</v>
      </c>
      <c r="D10" s="20">
        <f>43708/5394</f>
        <v>8.103077493511309</v>
      </c>
      <c r="E10" s="45">
        <v>0</v>
      </c>
      <c r="F10" s="45">
        <v>0</v>
      </c>
      <c r="G10" s="20">
        <f>165570/5394</f>
        <v>30.695216907675196</v>
      </c>
      <c r="H10" s="20">
        <f>111768/5394</f>
        <v>20.720800889877641</v>
      </c>
      <c r="I10" s="45">
        <v>0</v>
      </c>
      <c r="J10" s="45">
        <v>0</v>
      </c>
    </row>
    <row r="11" spans="1:12" ht="15.95" customHeight="1" x14ac:dyDescent="0.25">
      <c r="A11" s="15" t="s">
        <v>16</v>
      </c>
      <c r="B11" s="18" t="s">
        <v>17</v>
      </c>
      <c r="C11" s="20">
        <f>18862/1267</f>
        <v>14.88713496448303</v>
      </c>
      <c r="D11" s="20">
        <f>7348/704</f>
        <v>10.4375</v>
      </c>
      <c r="E11" s="20">
        <f>11514/563</f>
        <v>20.451154529307281</v>
      </c>
      <c r="F11" s="20" t="s">
        <v>11</v>
      </c>
      <c r="G11" s="20">
        <f>12255/1267</f>
        <v>9.6724546172059984</v>
      </c>
      <c r="H11" s="20">
        <f>6385/704</f>
        <v>9.0696022727272734</v>
      </c>
      <c r="I11" s="20">
        <f>5870/563</f>
        <v>10.426287744227354</v>
      </c>
      <c r="J11" s="20" t="s">
        <v>11</v>
      </c>
    </row>
    <row r="12" spans="1:12" ht="15.95" customHeight="1" x14ac:dyDescent="0.25">
      <c r="A12" s="15" t="s">
        <v>18</v>
      </c>
      <c r="B12" s="18" t="s">
        <v>19</v>
      </c>
      <c r="C12" s="20">
        <f>82110/4382</f>
        <v>18.738019169329075</v>
      </c>
      <c r="D12" s="20">
        <f>82110/4382</f>
        <v>18.738019169329075</v>
      </c>
      <c r="E12" s="20" t="s">
        <v>11</v>
      </c>
      <c r="F12" s="20" t="s">
        <v>11</v>
      </c>
      <c r="G12" s="20">
        <f>56072/4382</f>
        <v>12.795983569146509</v>
      </c>
      <c r="H12" s="20">
        <f>56072/4382</f>
        <v>12.795983569146509</v>
      </c>
      <c r="I12" s="20" t="s">
        <v>11</v>
      </c>
      <c r="J12" s="20" t="s">
        <v>11</v>
      </c>
    </row>
    <row r="13" spans="1:12" ht="15.95" customHeight="1" x14ac:dyDescent="0.25">
      <c r="A13" s="15" t="s">
        <v>20</v>
      </c>
      <c r="B13" s="18" t="s">
        <v>21</v>
      </c>
      <c r="C13" s="20">
        <f>104889/3770</f>
        <v>27.822015915119362</v>
      </c>
      <c r="D13" s="20">
        <f>33800/1158</f>
        <v>29.188255613126078</v>
      </c>
      <c r="E13" s="20">
        <f>4174/172</f>
        <v>24.267441860465116</v>
      </c>
      <c r="F13" s="20">
        <f>66915/2440</f>
        <v>27.424180327868854</v>
      </c>
      <c r="G13" s="20">
        <f>43093/3770</f>
        <v>11.430503978779841</v>
      </c>
      <c r="H13" s="20">
        <f>14114/1158</f>
        <v>12.18825561312608</v>
      </c>
      <c r="I13" s="20">
        <f>2360/172</f>
        <v>13.720930232558139</v>
      </c>
      <c r="J13" s="20">
        <f>26619/2440</f>
        <v>10.909426229508197</v>
      </c>
    </row>
    <row r="14" spans="1:12" ht="15.95" customHeight="1" x14ac:dyDescent="0.25">
      <c r="A14" s="15" t="s">
        <v>22</v>
      </c>
      <c r="B14" s="18" t="s">
        <v>23</v>
      </c>
      <c r="C14" s="20">
        <f>147467/5162</f>
        <v>28.567803177063155</v>
      </c>
      <c r="D14" s="20">
        <f>34717/5162</f>
        <v>6.7254939945757455</v>
      </c>
      <c r="E14" s="20" t="s">
        <v>11</v>
      </c>
      <c r="F14" s="45">
        <v>0</v>
      </c>
      <c r="G14" s="20">
        <f>121077/5162</f>
        <v>23.455443626501356</v>
      </c>
      <c r="H14" s="20">
        <f>30042/5162</f>
        <v>5.8198372723750484</v>
      </c>
      <c r="I14" s="20" t="s">
        <v>11</v>
      </c>
      <c r="J14" s="45">
        <v>0</v>
      </c>
    </row>
    <row r="15" spans="1:12" ht="15.95" customHeight="1" x14ac:dyDescent="0.25">
      <c r="A15" s="158" t="s">
        <v>30</v>
      </c>
      <c r="B15" s="158"/>
      <c r="C15" s="39">
        <f t="shared" ref="C15:J15" si="0">SUM(C8:C14)</f>
        <v>160.6498866485602</v>
      </c>
      <c r="D15" s="39">
        <f t="shared" si="0"/>
        <v>110.84585738310398</v>
      </c>
      <c r="E15" s="39">
        <f t="shared" si="0"/>
        <v>93.124709651304684</v>
      </c>
      <c r="F15" s="39">
        <f t="shared" si="0"/>
        <v>50.014779378877158</v>
      </c>
      <c r="G15" s="39">
        <f t="shared" si="0"/>
        <v>114.60872450547032</v>
      </c>
      <c r="H15" s="39">
        <f t="shared" si="0"/>
        <v>87.629765820231682</v>
      </c>
      <c r="I15" s="39">
        <f t="shared" si="0"/>
        <v>50.615377243461673</v>
      </c>
      <c r="J15" s="39">
        <f t="shared" si="0"/>
        <v>24.60752824611555</v>
      </c>
    </row>
    <row r="16" spans="1:12" ht="15.95" customHeight="1" x14ac:dyDescent="0.25">
      <c r="A16" s="108" t="s">
        <v>32</v>
      </c>
      <c r="B16" s="109"/>
      <c r="C16" s="39">
        <f>C15/7</f>
        <v>22.949983806937173</v>
      </c>
      <c r="D16" s="39">
        <f>D15/7</f>
        <v>15.835122483300568</v>
      </c>
      <c r="E16" s="39">
        <f>E15/5</f>
        <v>18.624941930260938</v>
      </c>
      <c r="F16" s="39">
        <f>F15/4</f>
        <v>12.503694844719289</v>
      </c>
      <c r="G16" s="39">
        <f>G15/7</f>
        <v>16.372674929352904</v>
      </c>
      <c r="H16" s="39">
        <f>H15/7</f>
        <v>12.518537974318813</v>
      </c>
      <c r="I16" s="39">
        <f>I15/5</f>
        <v>10.123075448692335</v>
      </c>
      <c r="J16" s="39">
        <f>J15/4</f>
        <v>6.1518820615288874</v>
      </c>
    </row>
    <row r="17" spans="1:20" ht="15.95" customHeight="1" x14ac:dyDescent="0.25">
      <c r="A17" s="157" t="s">
        <v>24</v>
      </c>
      <c r="B17" s="157"/>
      <c r="C17" s="157"/>
      <c r="D17" s="157"/>
      <c r="E17" s="157"/>
      <c r="F17" s="157"/>
      <c r="G17" s="157"/>
      <c r="H17" s="157"/>
      <c r="I17" s="157"/>
      <c r="J17" s="157"/>
    </row>
    <row r="18" spans="1:20" ht="15.95" customHeight="1" x14ac:dyDescent="0.25">
      <c r="A18" s="15" t="s">
        <v>8</v>
      </c>
      <c r="B18" s="18" t="s">
        <v>25</v>
      </c>
      <c r="C18" s="20">
        <f>123158/7110</f>
        <v>17.321800281293953</v>
      </c>
      <c r="D18" s="20">
        <f>28104/3589</f>
        <v>7.8305934800780159</v>
      </c>
      <c r="E18" s="20">
        <f>7864/189</f>
        <v>41.608465608465607</v>
      </c>
      <c r="F18" s="20">
        <f>87190/3332</f>
        <v>26.167466986794718</v>
      </c>
      <c r="G18" s="20">
        <f>78687/7110</f>
        <v>11.067088607594936</v>
      </c>
      <c r="H18" s="20">
        <f>17102/3589</f>
        <v>4.7651156310950125</v>
      </c>
      <c r="I18" s="20">
        <f>3733/189</f>
        <v>19.75132275132275</v>
      </c>
      <c r="J18" s="20">
        <f>57852/3332</f>
        <v>17.362545018007204</v>
      </c>
      <c r="S18" s="36"/>
      <c r="T18" s="36"/>
    </row>
    <row r="19" spans="1:20" ht="15.95" customHeight="1" x14ac:dyDescent="0.25">
      <c r="A19" s="15" t="s">
        <v>12</v>
      </c>
      <c r="B19" s="18" t="s">
        <v>26</v>
      </c>
      <c r="C19" s="20">
        <f>26481/947</f>
        <v>27.963041182682154</v>
      </c>
      <c r="D19" s="45">
        <v>0</v>
      </c>
      <c r="E19" s="20" t="s">
        <v>11</v>
      </c>
      <c r="F19" s="20">
        <f>26481/947</f>
        <v>27.963041182682154</v>
      </c>
      <c r="G19" s="20">
        <f>24081/947</f>
        <v>25.428722280887012</v>
      </c>
      <c r="H19" s="45">
        <v>0</v>
      </c>
      <c r="I19" s="20" t="s">
        <v>11</v>
      </c>
      <c r="J19" s="20">
        <f>11427/947</f>
        <v>12.066525871172123</v>
      </c>
    </row>
    <row r="20" spans="1:20" ht="15.95" customHeight="1" x14ac:dyDescent="0.25">
      <c r="A20" s="15" t="s">
        <v>14</v>
      </c>
      <c r="B20" s="18" t="s">
        <v>27</v>
      </c>
      <c r="C20" s="20">
        <f>94190/4276</f>
        <v>22.027595884003741</v>
      </c>
      <c r="D20" s="20">
        <f>31633/1392</f>
        <v>22.724856321839081</v>
      </c>
      <c r="E20" s="20" t="s">
        <v>11</v>
      </c>
      <c r="F20" s="20">
        <f>62557/2884</f>
        <v>21.691054091539527</v>
      </c>
      <c r="G20" s="20">
        <f>57738/4276</f>
        <v>13.502806361085126</v>
      </c>
      <c r="H20" s="20">
        <f>27560/1392</f>
        <v>19.798850574712645</v>
      </c>
      <c r="I20" s="20" t="s">
        <v>11</v>
      </c>
      <c r="J20" s="20">
        <f>30178/2884</f>
        <v>10.463938973647711</v>
      </c>
    </row>
    <row r="21" spans="1:20" ht="15.95" customHeight="1" x14ac:dyDescent="0.25">
      <c r="A21" s="15" t="s">
        <v>16</v>
      </c>
      <c r="B21" s="18" t="s">
        <v>28</v>
      </c>
      <c r="C21" s="20">
        <f>128797/5422</f>
        <v>23.754518627812615</v>
      </c>
      <c r="D21" s="20">
        <f>51128/5422</f>
        <v>9.4297307266691259</v>
      </c>
      <c r="E21" s="45">
        <v>0</v>
      </c>
      <c r="F21" s="45">
        <v>0</v>
      </c>
      <c r="G21" s="20">
        <f>90545/5422</f>
        <v>16.699557358908152</v>
      </c>
      <c r="H21" s="20">
        <f>33360/5422</f>
        <v>6.1527111766875695</v>
      </c>
      <c r="I21" s="45">
        <v>0</v>
      </c>
      <c r="J21" s="45">
        <v>0</v>
      </c>
    </row>
    <row r="22" spans="1:20" ht="15.95" customHeight="1" x14ac:dyDescent="0.25">
      <c r="A22" s="158" t="s">
        <v>30</v>
      </c>
      <c r="B22" s="158"/>
      <c r="C22" s="39">
        <f t="shared" ref="C22:J22" si="1">SUM(C18:C21)</f>
        <v>91.066955975792467</v>
      </c>
      <c r="D22" s="39">
        <f t="shared" si="1"/>
        <v>39.98518052858622</v>
      </c>
      <c r="E22" s="39">
        <f t="shared" si="1"/>
        <v>41.608465608465607</v>
      </c>
      <c r="F22" s="39">
        <f t="shared" si="1"/>
        <v>75.821562261016396</v>
      </c>
      <c r="G22" s="39">
        <f t="shared" si="1"/>
        <v>66.698174608475227</v>
      </c>
      <c r="H22" s="39">
        <f t="shared" si="1"/>
        <v>30.716677382495227</v>
      </c>
      <c r="I22" s="39">
        <f t="shared" si="1"/>
        <v>19.75132275132275</v>
      </c>
      <c r="J22" s="39">
        <f t="shared" si="1"/>
        <v>39.893009862827043</v>
      </c>
    </row>
    <row r="23" spans="1:20" ht="15.95" customHeight="1" x14ac:dyDescent="0.25">
      <c r="A23" s="108" t="s">
        <v>32</v>
      </c>
      <c r="B23" s="109"/>
      <c r="C23" s="39">
        <f>C22/4</f>
        <v>22.766738993948117</v>
      </c>
      <c r="D23" s="39">
        <f>D22/4</f>
        <v>9.996295132146555</v>
      </c>
      <c r="E23" s="39">
        <f>E22/2</f>
        <v>20.804232804232804</v>
      </c>
      <c r="F23" s="39">
        <f>F22/4</f>
        <v>18.955390565254099</v>
      </c>
      <c r="G23" s="39">
        <f>G22/4</f>
        <v>16.674543652118807</v>
      </c>
      <c r="H23" s="39">
        <f>H22/4</f>
        <v>7.6791693456238068</v>
      </c>
      <c r="I23" s="39">
        <f>I22/2</f>
        <v>9.8756613756613749</v>
      </c>
      <c r="J23" s="39">
        <f>J22/4</f>
        <v>9.9732524657067607</v>
      </c>
    </row>
    <row r="24" spans="1:20" ht="29.25" customHeight="1" x14ac:dyDescent="0.25">
      <c r="A24" s="159" t="s">
        <v>29</v>
      </c>
      <c r="B24" s="159"/>
      <c r="C24" s="65">
        <f t="shared" ref="C24:J24" si="2">SUM(C15,C22)</f>
        <v>251.71684262435267</v>
      </c>
      <c r="D24" s="65">
        <f t="shared" si="2"/>
        <v>150.8310379116902</v>
      </c>
      <c r="E24" s="65">
        <f t="shared" si="2"/>
        <v>134.73317525977029</v>
      </c>
      <c r="F24" s="65">
        <f t="shared" si="2"/>
        <v>125.83634163989356</v>
      </c>
      <c r="G24" s="65">
        <f t="shared" si="2"/>
        <v>181.30689911394555</v>
      </c>
      <c r="H24" s="65">
        <f t="shared" si="2"/>
        <v>118.3464432027269</v>
      </c>
      <c r="I24" s="65">
        <f t="shared" si="2"/>
        <v>70.366699994784426</v>
      </c>
      <c r="J24" s="65">
        <f t="shared" si="2"/>
        <v>64.500538108942592</v>
      </c>
    </row>
    <row r="25" spans="1:20" ht="33.75" customHeight="1" x14ac:dyDescent="0.25">
      <c r="A25" s="159" t="s">
        <v>31</v>
      </c>
      <c r="B25" s="159"/>
      <c r="C25" s="65">
        <f>C24/11</f>
        <v>22.883349329486606</v>
      </c>
      <c r="D25" s="65">
        <f>D24/11</f>
        <v>13.711912537426382</v>
      </c>
      <c r="E25" s="65">
        <f>E24/7</f>
        <v>19.247596465681472</v>
      </c>
      <c r="F25" s="65">
        <f>F24/8</f>
        <v>15.729542704986695</v>
      </c>
      <c r="G25" s="65">
        <f>G24/11</f>
        <v>16.482445373995048</v>
      </c>
      <c r="H25" s="65">
        <f>H24/11</f>
        <v>10.758767563884264</v>
      </c>
      <c r="I25" s="65">
        <f>I24/7</f>
        <v>10.052385713540632</v>
      </c>
      <c r="J25" s="65">
        <f>J24/8</f>
        <v>8.0625672636178241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25"/>
  <sheetViews>
    <sheetView workbookViewId="0">
      <selection activeCell="P16" sqref="P16"/>
    </sheetView>
  </sheetViews>
  <sheetFormatPr defaultRowHeight="15" x14ac:dyDescent="0.25"/>
  <cols>
    <col min="1" max="1" width="4.85546875" customWidth="1"/>
    <col min="2" max="2" width="27.85546875" customWidth="1"/>
    <col min="3" max="3" width="12.28515625" customWidth="1"/>
    <col min="4" max="4" width="9.140625" customWidth="1"/>
    <col min="5" max="5" width="9.42578125" customWidth="1"/>
    <col min="6" max="6" width="8.5703125" customWidth="1"/>
    <col min="7" max="7" width="12.28515625" customWidth="1"/>
    <col min="8" max="8" width="8.85546875" customWidth="1"/>
    <col min="9" max="9" width="8.5703125" customWidth="1"/>
    <col min="10" max="10" width="9.28515625" customWidth="1"/>
  </cols>
  <sheetData>
    <row r="2" spans="1:11" ht="15.75" x14ac:dyDescent="0.25">
      <c r="A2" s="137" t="s">
        <v>61</v>
      </c>
      <c r="B2" s="137"/>
      <c r="C2" s="137"/>
      <c r="D2" s="137"/>
      <c r="E2" s="137"/>
      <c r="F2" s="137"/>
      <c r="G2" s="137"/>
      <c r="H2" s="137"/>
      <c r="I2" s="137"/>
      <c r="J2" s="137"/>
      <c r="K2" s="24"/>
    </row>
    <row r="3" spans="1:11" ht="15.75" x14ac:dyDescent="0.25">
      <c r="A3" s="137" t="s">
        <v>100</v>
      </c>
      <c r="B3" s="137"/>
      <c r="C3" s="137"/>
      <c r="D3" s="137"/>
      <c r="E3" s="137"/>
      <c r="F3" s="137"/>
      <c r="G3" s="137"/>
      <c r="H3" s="137"/>
      <c r="I3" s="137"/>
      <c r="J3" s="137"/>
    </row>
    <row r="4" spans="1:11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1" ht="15.95" customHeight="1" x14ac:dyDescent="0.25">
      <c r="A5" s="111" t="s">
        <v>0</v>
      </c>
      <c r="B5" s="111" t="s">
        <v>1</v>
      </c>
      <c r="C5" s="124" t="s">
        <v>59</v>
      </c>
      <c r="D5" s="138"/>
      <c r="E5" s="138"/>
      <c r="F5" s="125"/>
      <c r="G5" s="124" t="s">
        <v>60</v>
      </c>
      <c r="H5" s="138"/>
      <c r="I5" s="138"/>
      <c r="J5" s="125"/>
    </row>
    <row r="6" spans="1:11" ht="28.5" customHeight="1" x14ac:dyDescent="0.25">
      <c r="A6" s="111"/>
      <c r="B6" s="111"/>
      <c r="C6" s="22" t="s">
        <v>47</v>
      </c>
      <c r="D6" s="22" t="s">
        <v>3</v>
      </c>
      <c r="E6" s="22" t="s">
        <v>45</v>
      </c>
      <c r="F6" s="22" t="s">
        <v>46</v>
      </c>
      <c r="G6" s="22" t="s">
        <v>47</v>
      </c>
      <c r="H6" s="22" t="s">
        <v>3</v>
      </c>
      <c r="I6" s="22" t="s">
        <v>45</v>
      </c>
      <c r="J6" s="22" t="s">
        <v>46</v>
      </c>
    </row>
    <row r="7" spans="1:11" ht="15.95" customHeight="1" x14ac:dyDescent="0.25">
      <c r="A7" s="25" t="s">
        <v>7</v>
      </c>
      <c r="B7" s="25"/>
      <c r="C7" s="25"/>
      <c r="D7" s="25"/>
      <c r="E7" s="25"/>
      <c r="F7" s="25"/>
      <c r="G7" s="25"/>
      <c r="H7" s="25"/>
      <c r="I7" s="25"/>
      <c r="J7" s="25"/>
    </row>
    <row r="8" spans="1:11" ht="15.95" customHeight="1" x14ac:dyDescent="0.25">
      <c r="A8" s="15" t="s">
        <v>8</v>
      </c>
      <c r="B8" s="18" t="s">
        <v>9</v>
      </c>
      <c r="C8" s="69">
        <f>91093/5310</f>
        <v>17.154990583804143</v>
      </c>
      <c r="D8" s="69">
        <f>22716/1228</f>
        <v>18.498371335504885</v>
      </c>
      <c r="E8" s="69">
        <f>53885/4082</f>
        <v>13.200636942675159</v>
      </c>
      <c r="F8" s="69" t="s">
        <v>11</v>
      </c>
      <c r="G8" s="69">
        <f>61800/5310</f>
        <v>11.638418079096045</v>
      </c>
      <c r="H8" s="69">
        <f>13763/1228</f>
        <v>11.207654723127035</v>
      </c>
      <c r="I8" s="69">
        <f>48037/4082</f>
        <v>11.768005879470847</v>
      </c>
      <c r="J8" s="69" t="s">
        <v>11</v>
      </c>
    </row>
    <row r="9" spans="1:11" ht="15.95" customHeight="1" x14ac:dyDescent="0.25">
      <c r="A9" s="15" t="s">
        <v>12</v>
      </c>
      <c r="B9" s="18" t="s">
        <v>13</v>
      </c>
      <c r="C9" s="69">
        <f>56590/3354</f>
        <v>16.872391174716757</v>
      </c>
      <c r="D9" s="69">
        <f>7100/1023</f>
        <v>6.9403714565004888</v>
      </c>
      <c r="E9" s="69">
        <f>3509/261</f>
        <v>13.444444444444445</v>
      </c>
      <c r="F9" s="69">
        <f>45981/2070</f>
        <v>22.213043478260868</v>
      </c>
      <c r="G9" s="69">
        <f>47563/3354</f>
        <v>14.180977936791891</v>
      </c>
      <c r="H9" s="69">
        <f>8367/1023</f>
        <v>8.1788856304985345</v>
      </c>
      <c r="I9" s="69">
        <f>3881/261</f>
        <v>14.869731800766283</v>
      </c>
      <c r="J9" s="69">
        <f>35315/2070</f>
        <v>17.060386473429951</v>
      </c>
    </row>
    <row r="10" spans="1:11" ht="15.95" customHeight="1" x14ac:dyDescent="0.25">
      <c r="A10" s="15" t="s">
        <v>14</v>
      </c>
      <c r="B10" s="18" t="s">
        <v>15</v>
      </c>
      <c r="C10" s="69">
        <f>29083/2013</f>
        <v>14.447590660705416</v>
      </c>
      <c r="D10" s="69">
        <f>8088/2013</f>
        <v>4.0178837555886737</v>
      </c>
      <c r="E10" s="45">
        <v>0</v>
      </c>
      <c r="F10" s="45">
        <v>0</v>
      </c>
      <c r="G10" s="69">
        <f>51907/2013</f>
        <v>25.785891703924491</v>
      </c>
      <c r="H10" s="69">
        <f>35310/2013</f>
        <v>17.540983606557376</v>
      </c>
      <c r="I10" s="45">
        <v>0</v>
      </c>
      <c r="J10" s="45">
        <v>0</v>
      </c>
    </row>
    <row r="11" spans="1:11" ht="15.95" customHeight="1" x14ac:dyDescent="0.25">
      <c r="A11" s="15" t="s">
        <v>16</v>
      </c>
      <c r="B11" s="18" t="s">
        <v>17</v>
      </c>
      <c r="C11" s="69">
        <f>1852/95</f>
        <v>19.494736842105262</v>
      </c>
      <c r="D11" s="69">
        <f>527/72</f>
        <v>7.3194444444444446</v>
      </c>
      <c r="E11" s="69">
        <f>1325/23</f>
        <v>57.608695652173914</v>
      </c>
      <c r="F11" s="69" t="s">
        <v>11</v>
      </c>
      <c r="G11" s="69">
        <f>1346/95</f>
        <v>14.168421052631579</v>
      </c>
      <c r="H11" s="69">
        <f>638/72</f>
        <v>8.8611111111111107</v>
      </c>
      <c r="I11" s="69">
        <f>708/23</f>
        <v>30.782608695652176</v>
      </c>
      <c r="J11" s="69" t="s">
        <v>11</v>
      </c>
    </row>
    <row r="12" spans="1:11" ht="15.95" customHeight="1" x14ac:dyDescent="0.25">
      <c r="A12" s="15" t="s">
        <v>18</v>
      </c>
      <c r="B12" s="18" t="s">
        <v>19</v>
      </c>
      <c r="C12" s="69">
        <f>13384/920</f>
        <v>14.547826086956523</v>
      </c>
      <c r="D12" s="69">
        <f>13388/920</f>
        <v>14.552173913043479</v>
      </c>
      <c r="E12" s="69" t="s">
        <v>11</v>
      </c>
      <c r="F12" s="69" t="s">
        <v>11</v>
      </c>
      <c r="G12" s="69">
        <f>13485/920</f>
        <v>14.657608695652174</v>
      </c>
      <c r="H12" s="69">
        <f>13485/920</f>
        <v>14.657608695652174</v>
      </c>
      <c r="I12" s="69" t="s">
        <v>11</v>
      </c>
      <c r="J12" s="69" t="s">
        <v>11</v>
      </c>
    </row>
    <row r="13" spans="1:11" ht="15.95" customHeight="1" x14ac:dyDescent="0.25">
      <c r="A13" s="15" t="s">
        <v>20</v>
      </c>
      <c r="B13" s="18" t="s">
        <v>21</v>
      </c>
      <c r="C13" s="69">
        <f>14481/873</f>
        <v>16.587628865979383</v>
      </c>
      <c r="D13" s="69">
        <f>6583/324</f>
        <v>20.317901234567902</v>
      </c>
      <c r="E13" s="69">
        <f>69/8</f>
        <v>8.625</v>
      </c>
      <c r="F13" s="69">
        <f>7829/541</f>
        <v>14.471349353049908</v>
      </c>
      <c r="G13" s="69">
        <f>10050/873</f>
        <v>11.512027491408935</v>
      </c>
      <c r="H13" s="45">
        <v>0</v>
      </c>
      <c r="I13" s="69">
        <f>26/8</f>
        <v>3.25</v>
      </c>
      <c r="J13" s="69">
        <f>5925/541</f>
        <v>10.951940850277264</v>
      </c>
    </row>
    <row r="14" spans="1:11" ht="15.95" customHeight="1" x14ac:dyDescent="0.25">
      <c r="A14" s="15" t="s">
        <v>22</v>
      </c>
      <c r="B14" s="18" t="s">
        <v>23</v>
      </c>
      <c r="C14" s="69">
        <f>37484/1484</f>
        <v>25.258760107816713</v>
      </c>
      <c r="D14" s="69">
        <f>11491/1484</f>
        <v>7.7432614555256061</v>
      </c>
      <c r="E14" s="69" t="s">
        <v>11</v>
      </c>
      <c r="F14" s="45">
        <v>0</v>
      </c>
      <c r="G14" s="69">
        <f>38638/1484</f>
        <v>26.036388140161726</v>
      </c>
      <c r="H14" s="69">
        <f>10107/1007</f>
        <v>10.036742800397219</v>
      </c>
      <c r="I14" s="69" t="s">
        <v>11</v>
      </c>
      <c r="J14" s="45">
        <v>0</v>
      </c>
    </row>
    <row r="15" spans="1:11" ht="15.95" customHeight="1" x14ac:dyDescent="0.25">
      <c r="A15" s="158" t="s">
        <v>30</v>
      </c>
      <c r="B15" s="158"/>
      <c r="C15" s="38">
        <f t="shared" ref="C15:J15" si="0">SUM(C8:C14)</f>
        <v>124.3639243220842</v>
      </c>
      <c r="D15" s="38">
        <f>SUM(D8:D14)</f>
        <v>79.389407595175484</v>
      </c>
      <c r="E15" s="38">
        <f t="shared" si="0"/>
        <v>92.87877703929351</v>
      </c>
      <c r="F15" s="38">
        <f t="shared" si="0"/>
        <v>36.684392831310774</v>
      </c>
      <c r="G15" s="38">
        <f t="shared" si="0"/>
        <v>117.97973309966682</v>
      </c>
      <c r="H15" s="38">
        <f t="shared" si="0"/>
        <v>70.482986567343445</v>
      </c>
      <c r="I15" s="38">
        <f t="shared" si="0"/>
        <v>60.670346375889309</v>
      </c>
      <c r="J15" s="38">
        <f t="shared" si="0"/>
        <v>28.012327323707215</v>
      </c>
    </row>
    <row r="16" spans="1:11" ht="15.95" customHeight="1" x14ac:dyDescent="0.25">
      <c r="A16" s="108" t="s">
        <v>32</v>
      </c>
      <c r="B16" s="109"/>
      <c r="C16" s="38">
        <f>C15/7</f>
        <v>17.766274903154887</v>
      </c>
      <c r="D16" s="38">
        <f>D15/7</f>
        <v>11.341343942167926</v>
      </c>
      <c r="E16" s="38">
        <f>E15/5</f>
        <v>18.575755407858701</v>
      </c>
      <c r="F16" s="38">
        <f>F15/4</f>
        <v>9.1710982078276935</v>
      </c>
      <c r="G16" s="38">
        <f>G15/7</f>
        <v>16.854247585666688</v>
      </c>
      <c r="H16" s="38">
        <f>H15/7</f>
        <v>10.068998081049063</v>
      </c>
      <c r="I16" s="38">
        <f>I15/5</f>
        <v>12.134069275177861</v>
      </c>
      <c r="J16" s="38">
        <f>J15/4</f>
        <v>7.0030818309268037</v>
      </c>
    </row>
    <row r="17" spans="1:10" ht="15.95" customHeight="1" x14ac:dyDescent="0.25">
      <c r="A17" s="157" t="s">
        <v>24</v>
      </c>
      <c r="B17" s="157"/>
      <c r="C17" s="157"/>
      <c r="D17" s="157"/>
      <c r="E17" s="157"/>
      <c r="F17" s="157"/>
      <c r="G17" s="157"/>
      <c r="H17" s="157"/>
      <c r="I17" s="157"/>
      <c r="J17" s="157"/>
    </row>
    <row r="18" spans="1:10" ht="15.95" customHeight="1" x14ac:dyDescent="0.25">
      <c r="A18" s="15" t="s">
        <v>8</v>
      </c>
      <c r="B18" s="18" t="s">
        <v>25</v>
      </c>
      <c r="C18" s="69">
        <f>18430/1214</f>
        <v>15.181219110378912</v>
      </c>
      <c r="D18" s="69">
        <f>4414/396</f>
        <v>11.146464646464647</v>
      </c>
      <c r="E18" s="69">
        <f>1861/53</f>
        <v>35.113207547169814</v>
      </c>
      <c r="F18" s="69">
        <f>12155/765</f>
        <v>15.888888888888889</v>
      </c>
      <c r="G18" s="69">
        <f>78687/1214</f>
        <v>64.816309719934097</v>
      </c>
      <c r="H18" s="69">
        <f>5336/396</f>
        <v>13.474747474747474</v>
      </c>
      <c r="I18" s="69">
        <f>1546/53</f>
        <v>29.169811320754718</v>
      </c>
      <c r="J18" s="69">
        <f>17493/765</f>
        <v>22.866666666666667</v>
      </c>
    </row>
    <row r="19" spans="1:10" ht="15.95" customHeight="1" x14ac:dyDescent="0.25">
      <c r="A19" s="15" t="s">
        <v>12</v>
      </c>
      <c r="B19" s="18" t="s">
        <v>26</v>
      </c>
      <c r="C19" s="69">
        <f>3612/251</f>
        <v>14.390438247011952</v>
      </c>
      <c r="D19" s="45">
        <v>0</v>
      </c>
      <c r="E19" s="69" t="s">
        <v>11</v>
      </c>
      <c r="F19" s="69">
        <f>3612/251</f>
        <v>14.390438247011952</v>
      </c>
      <c r="G19" s="69">
        <f>7502/251</f>
        <v>29.888446215139442</v>
      </c>
      <c r="H19" s="45">
        <v>0</v>
      </c>
      <c r="I19" s="69" t="s">
        <v>11</v>
      </c>
      <c r="J19" s="69">
        <f>2620/251</f>
        <v>10.438247011952191</v>
      </c>
    </row>
    <row r="20" spans="1:10" ht="15.95" customHeight="1" x14ac:dyDescent="0.25">
      <c r="A20" s="15" t="s">
        <v>14</v>
      </c>
      <c r="B20" s="18" t="s">
        <v>27</v>
      </c>
      <c r="C20" s="69">
        <f>25617/1349</f>
        <v>18.989621942179394</v>
      </c>
      <c r="D20" s="69">
        <f>8876/547</f>
        <v>16.226691042047531</v>
      </c>
      <c r="E20" s="69" t="s">
        <v>11</v>
      </c>
      <c r="F20" s="69">
        <f>16741/802</f>
        <v>20.874064837905237</v>
      </c>
      <c r="G20" s="69">
        <f>19883/1349</f>
        <v>14.739065974796146</v>
      </c>
      <c r="H20" s="69">
        <f>8753/547</f>
        <v>16.001828153564901</v>
      </c>
      <c r="I20" s="69" t="s">
        <v>11</v>
      </c>
      <c r="J20" s="69">
        <f>11130/802</f>
        <v>13.87780548628429</v>
      </c>
    </row>
    <row r="21" spans="1:10" ht="15.95" customHeight="1" x14ac:dyDescent="0.25">
      <c r="A21" s="15" t="s">
        <v>16</v>
      </c>
      <c r="B21" s="18" t="s">
        <v>28</v>
      </c>
      <c r="C21" s="69">
        <f>31674/1058</f>
        <v>29.937618147448013</v>
      </c>
      <c r="D21" s="69">
        <f>11208/1058</f>
        <v>10.593572778827978</v>
      </c>
      <c r="E21" s="45">
        <v>0</v>
      </c>
      <c r="F21" s="45">
        <v>0</v>
      </c>
      <c r="G21" s="69">
        <f>31684/1058</f>
        <v>29.947069943289225</v>
      </c>
      <c r="H21" s="69">
        <f>9169/1058</f>
        <v>8.6663516068052928</v>
      </c>
      <c r="I21" s="45">
        <v>0</v>
      </c>
      <c r="J21" s="45">
        <v>0</v>
      </c>
    </row>
    <row r="22" spans="1:10" ht="15.95" customHeight="1" x14ac:dyDescent="0.25">
      <c r="A22" s="158" t="s">
        <v>30</v>
      </c>
      <c r="B22" s="158"/>
      <c r="C22" s="38">
        <f t="shared" ref="C22:J22" si="1">SUM(C18:C21)</f>
        <v>78.498897447018265</v>
      </c>
      <c r="D22" s="38">
        <f t="shared" si="1"/>
        <v>37.966728467340154</v>
      </c>
      <c r="E22" s="38">
        <f t="shared" si="1"/>
        <v>35.113207547169814</v>
      </c>
      <c r="F22" s="38">
        <f t="shared" si="1"/>
        <v>51.15339197380608</v>
      </c>
      <c r="G22" s="38">
        <f t="shared" si="1"/>
        <v>139.39089185315891</v>
      </c>
      <c r="H22" s="38">
        <f t="shared" si="1"/>
        <v>38.142927235117668</v>
      </c>
      <c r="I22" s="38">
        <f t="shared" si="1"/>
        <v>29.169811320754718</v>
      </c>
      <c r="J22" s="38">
        <f t="shared" si="1"/>
        <v>47.182719164903148</v>
      </c>
    </row>
    <row r="23" spans="1:10" ht="15.95" customHeight="1" x14ac:dyDescent="0.25">
      <c r="A23" s="108" t="s">
        <v>32</v>
      </c>
      <c r="B23" s="109"/>
      <c r="C23" s="38">
        <f>C22/4</f>
        <v>19.624724361754566</v>
      </c>
      <c r="D23" s="38">
        <f>D22/4</f>
        <v>9.4916821168350385</v>
      </c>
      <c r="E23" s="38">
        <f>E22/2</f>
        <v>17.556603773584907</v>
      </c>
      <c r="F23" s="38">
        <f>F22/4</f>
        <v>12.78834799345152</v>
      </c>
      <c r="G23" s="38">
        <f>G22/4</f>
        <v>34.847722963289726</v>
      </c>
      <c r="H23" s="38">
        <f>H22/4</f>
        <v>9.535731808779417</v>
      </c>
      <c r="I23" s="38">
        <f>I22/2</f>
        <v>14.584905660377359</v>
      </c>
      <c r="J23" s="38">
        <f>J22/4</f>
        <v>11.795679791225787</v>
      </c>
    </row>
    <row r="24" spans="1:10" ht="30" customHeight="1" x14ac:dyDescent="0.25">
      <c r="A24" s="159" t="s">
        <v>29</v>
      </c>
      <c r="B24" s="159"/>
      <c r="C24" s="70">
        <f t="shared" ref="C24:J24" si="2">SUM(C15,C22)</f>
        <v>202.86282176910248</v>
      </c>
      <c r="D24" s="70">
        <f t="shared" si="2"/>
        <v>117.35613606251565</v>
      </c>
      <c r="E24" s="70">
        <f t="shared" si="2"/>
        <v>127.99198458646333</v>
      </c>
      <c r="F24" s="70">
        <f t="shared" si="2"/>
        <v>87.837784805116854</v>
      </c>
      <c r="G24" s="70">
        <f t="shared" si="2"/>
        <v>257.37062495282572</v>
      </c>
      <c r="H24" s="70">
        <f t="shared" si="2"/>
        <v>108.62591380246111</v>
      </c>
      <c r="I24" s="70">
        <f t="shared" si="2"/>
        <v>89.840157696644027</v>
      </c>
      <c r="J24" s="70">
        <f t="shared" si="2"/>
        <v>75.195046488610359</v>
      </c>
    </row>
    <row r="25" spans="1:10" ht="33.75" customHeight="1" x14ac:dyDescent="0.25">
      <c r="A25" s="159" t="s">
        <v>31</v>
      </c>
      <c r="B25" s="159"/>
      <c r="C25" s="70">
        <f>C24/11</f>
        <v>18.442074706282042</v>
      </c>
      <c r="D25" s="70">
        <f>D24/11</f>
        <v>10.668739642046877</v>
      </c>
      <c r="E25" s="70">
        <f>E24/7</f>
        <v>18.284569226637618</v>
      </c>
      <c r="F25" s="70">
        <f>F24/8</f>
        <v>10.979723100639607</v>
      </c>
      <c r="G25" s="70">
        <f>G24/11</f>
        <v>23.397329541165973</v>
      </c>
      <c r="H25" s="70">
        <f>H24/11</f>
        <v>9.8750830729510106</v>
      </c>
      <c r="I25" s="70">
        <f>I24/7</f>
        <v>12.834308242377718</v>
      </c>
      <c r="J25" s="70">
        <f>J24/8</f>
        <v>9.3993808110762949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AB26"/>
  <sheetViews>
    <sheetView workbookViewId="0">
      <selection activeCell="R39" sqref="R39"/>
    </sheetView>
  </sheetViews>
  <sheetFormatPr defaultRowHeight="15" x14ac:dyDescent="0.25"/>
  <cols>
    <col min="1" max="1" width="4.42578125" customWidth="1"/>
    <col min="2" max="2" width="28.28515625" customWidth="1"/>
    <col min="3" max="3" width="11" customWidth="1"/>
    <col min="4" max="4" width="11.7109375" customWidth="1"/>
    <col min="5" max="5" width="7.7109375" customWidth="1"/>
    <col min="6" max="6" width="9.140625" customWidth="1"/>
    <col min="7" max="7" width="10.85546875" customWidth="1"/>
    <col min="8" max="8" width="11" customWidth="1"/>
    <col min="9" max="9" width="11.7109375" customWidth="1"/>
    <col min="10" max="10" width="7.5703125" customWidth="1"/>
    <col min="11" max="11" width="9.140625" customWidth="1"/>
    <col min="12" max="12" width="10.85546875" customWidth="1"/>
    <col min="13" max="13" width="11.140625" customWidth="1"/>
    <col min="14" max="14" width="12" customWidth="1"/>
    <col min="15" max="15" width="8" customWidth="1"/>
    <col min="16" max="16" width="9.140625" customWidth="1"/>
    <col min="17" max="17" width="10.85546875" customWidth="1"/>
    <col min="18" max="18" width="11.140625" customWidth="1"/>
    <col min="19" max="19" width="11.7109375" customWidth="1"/>
    <col min="20" max="20" width="7.7109375" customWidth="1"/>
    <col min="21" max="21" width="9.140625" customWidth="1"/>
    <col min="22" max="22" width="11" customWidth="1"/>
  </cols>
  <sheetData>
    <row r="2" spans="1:28" ht="15" customHeight="1" x14ac:dyDescent="0.25">
      <c r="A2" s="144" t="s">
        <v>67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42"/>
      <c r="X2" s="42"/>
      <c r="Y2" s="42"/>
      <c r="Z2" s="42"/>
      <c r="AA2" s="42"/>
      <c r="AB2" s="42"/>
    </row>
    <row r="3" spans="1:28" ht="15.75" customHeight="1" x14ac:dyDescent="0.25">
      <c r="A3" s="144" t="s">
        <v>100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42"/>
      <c r="X3" s="42"/>
      <c r="Y3" s="42"/>
      <c r="Z3" s="42"/>
      <c r="AA3" s="42"/>
      <c r="AB3" s="42"/>
    </row>
    <row r="5" spans="1:28" ht="15.75" customHeight="1" x14ac:dyDescent="0.25">
      <c r="A5" s="111" t="s">
        <v>0</v>
      </c>
      <c r="B5" s="111" t="s">
        <v>1</v>
      </c>
      <c r="C5" s="167" t="s">
        <v>47</v>
      </c>
      <c r="D5" s="167"/>
      <c r="E5" s="167"/>
      <c r="F5" s="167"/>
      <c r="G5" s="164" t="s">
        <v>80</v>
      </c>
      <c r="H5" s="161" t="s">
        <v>3</v>
      </c>
      <c r="I5" s="162"/>
      <c r="J5" s="162"/>
      <c r="K5" s="163"/>
      <c r="L5" s="164" t="s">
        <v>80</v>
      </c>
      <c r="M5" s="167" t="s">
        <v>45</v>
      </c>
      <c r="N5" s="167"/>
      <c r="O5" s="167"/>
      <c r="P5" s="167"/>
      <c r="Q5" s="164" t="s">
        <v>80</v>
      </c>
      <c r="R5" s="167" t="s">
        <v>46</v>
      </c>
      <c r="S5" s="167"/>
      <c r="T5" s="167"/>
      <c r="U5" s="167"/>
      <c r="V5" s="164" t="s">
        <v>80</v>
      </c>
    </row>
    <row r="6" spans="1:28" ht="15" customHeight="1" x14ac:dyDescent="0.25">
      <c r="A6" s="111"/>
      <c r="B6" s="111"/>
      <c r="C6" s="111" t="s">
        <v>70</v>
      </c>
      <c r="D6" s="139" t="s">
        <v>69</v>
      </c>
      <c r="E6" s="111" t="s">
        <v>68</v>
      </c>
      <c r="F6" s="111"/>
      <c r="G6" s="165"/>
      <c r="H6" s="111" t="s">
        <v>70</v>
      </c>
      <c r="I6" s="139" t="s">
        <v>69</v>
      </c>
      <c r="J6" s="111" t="s">
        <v>68</v>
      </c>
      <c r="K6" s="111"/>
      <c r="L6" s="165"/>
      <c r="M6" s="111" t="s">
        <v>70</v>
      </c>
      <c r="N6" s="139" t="s">
        <v>69</v>
      </c>
      <c r="O6" s="111" t="s">
        <v>68</v>
      </c>
      <c r="P6" s="111"/>
      <c r="Q6" s="165"/>
      <c r="R6" s="111" t="s">
        <v>70</v>
      </c>
      <c r="S6" s="139" t="s">
        <v>69</v>
      </c>
      <c r="T6" s="111" t="s">
        <v>68</v>
      </c>
      <c r="U6" s="111"/>
      <c r="V6" s="165"/>
    </row>
    <row r="7" spans="1:28" ht="47.25" customHeight="1" x14ac:dyDescent="0.25">
      <c r="A7" s="111"/>
      <c r="B7" s="111"/>
      <c r="C7" s="111"/>
      <c r="D7" s="140"/>
      <c r="E7" s="40" t="s">
        <v>71</v>
      </c>
      <c r="F7" s="40" t="s">
        <v>72</v>
      </c>
      <c r="G7" s="166"/>
      <c r="H7" s="111"/>
      <c r="I7" s="140"/>
      <c r="J7" s="40" t="s">
        <v>71</v>
      </c>
      <c r="K7" s="40" t="s">
        <v>72</v>
      </c>
      <c r="L7" s="166"/>
      <c r="M7" s="111"/>
      <c r="N7" s="140"/>
      <c r="O7" s="40" t="s">
        <v>71</v>
      </c>
      <c r="P7" s="40" t="s">
        <v>72</v>
      </c>
      <c r="Q7" s="166"/>
      <c r="R7" s="111"/>
      <c r="S7" s="140"/>
      <c r="T7" s="40" t="s">
        <v>71</v>
      </c>
      <c r="U7" s="40" t="s">
        <v>72</v>
      </c>
      <c r="V7" s="166"/>
    </row>
    <row r="8" spans="1:28" ht="15.95" customHeight="1" x14ac:dyDescent="0.25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6"/>
      <c r="V8" s="41"/>
    </row>
    <row r="9" spans="1:28" ht="15.95" customHeight="1" x14ac:dyDescent="0.25">
      <c r="A9" s="15" t="s">
        <v>8</v>
      </c>
      <c r="B9" s="18" t="s">
        <v>9</v>
      </c>
      <c r="C9" s="87">
        <v>399</v>
      </c>
      <c r="D9" s="87">
        <v>141</v>
      </c>
      <c r="E9" s="87">
        <v>141</v>
      </c>
      <c r="F9" s="87">
        <v>141</v>
      </c>
      <c r="G9" s="45">
        <f>D9-108</f>
        <v>33</v>
      </c>
      <c r="H9" s="87">
        <v>131</v>
      </c>
      <c r="I9" s="87">
        <v>40</v>
      </c>
      <c r="J9" s="87">
        <v>40</v>
      </c>
      <c r="K9" s="87">
        <v>40</v>
      </c>
      <c r="L9" s="45">
        <f>I9-41</f>
        <v>-1</v>
      </c>
      <c r="M9" s="87">
        <f>262+6</f>
        <v>268</v>
      </c>
      <c r="N9" s="87">
        <f>97+4</f>
        <v>101</v>
      </c>
      <c r="O9" s="87">
        <f>97+4</f>
        <v>101</v>
      </c>
      <c r="P9" s="87">
        <f>97+4</f>
        <v>101</v>
      </c>
      <c r="Q9" s="45">
        <f>N9-67</f>
        <v>34</v>
      </c>
      <c r="R9" s="87" t="s">
        <v>11</v>
      </c>
      <c r="S9" s="87" t="s">
        <v>11</v>
      </c>
      <c r="T9" s="87" t="s">
        <v>11</v>
      </c>
      <c r="U9" s="87" t="s">
        <v>11</v>
      </c>
      <c r="V9" s="45" t="s">
        <v>11</v>
      </c>
    </row>
    <row r="10" spans="1:28" ht="15.95" customHeight="1" x14ac:dyDescent="0.25">
      <c r="A10" s="15" t="s">
        <v>12</v>
      </c>
      <c r="B10" s="18" t="s">
        <v>13</v>
      </c>
      <c r="C10" s="87">
        <v>384</v>
      </c>
      <c r="D10" s="87">
        <v>126</v>
      </c>
      <c r="E10" s="87">
        <v>122</v>
      </c>
      <c r="F10" s="87">
        <v>122</v>
      </c>
      <c r="G10" s="45">
        <f>D10-127</f>
        <v>-1</v>
      </c>
      <c r="H10" s="87">
        <v>92</v>
      </c>
      <c r="I10" s="87">
        <v>28</v>
      </c>
      <c r="J10" s="87">
        <v>28</v>
      </c>
      <c r="K10" s="87">
        <v>28</v>
      </c>
      <c r="L10" s="45">
        <f>I10-28</f>
        <v>0</v>
      </c>
      <c r="M10" s="87">
        <v>20</v>
      </c>
      <c r="N10" s="87">
        <v>6</v>
      </c>
      <c r="O10" s="87">
        <v>6</v>
      </c>
      <c r="P10" s="87">
        <v>6</v>
      </c>
      <c r="Q10" s="45">
        <f>N10-6</f>
        <v>0</v>
      </c>
      <c r="R10" s="87">
        <v>272</v>
      </c>
      <c r="S10" s="87">
        <v>92</v>
      </c>
      <c r="T10" s="87">
        <v>88</v>
      </c>
      <c r="U10" s="87">
        <v>88</v>
      </c>
      <c r="V10" s="45">
        <f>S10-93</f>
        <v>-1</v>
      </c>
    </row>
    <row r="11" spans="1:28" ht="15.95" customHeight="1" x14ac:dyDescent="0.25">
      <c r="A11" s="15" t="s">
        <v>14</v>
      </c>
      <c r="B11" s="18" t="s">
        <v>15</v>
      </c>
      <c r="C11" s="87">
        <v>380</v>
      </c>
      <c r="D11" s="87">
        <v>99</v>
      </c>
      <c r="E11" s="87">
        <v>93</v>
      </c>
      <c r="F11" s="87">
        <v>99</v>
      </c>
      <c r="G11" s="45">
        <f>D11-98</f>
        <v>1</v>
      </c>
      <c r="H11" s="87">
        <v>127</v>
      </c>
      <c r="I11" s="87">
        <v>27</v>
      </c>
      <c r="J11" s="87">
        <v>21</v>
      </c>
      <c r="K11" s="87">
        <v>27</v>
      </c>
      <c r="L11" s="45">
        <f>I11-27</f>
        <v>0</v>
      </c>
      <c r="M11" s="87">
        <v>28</v>
      </c>
      <c r="N11" s="87">
        <v>6</v>
      </c>
      <c r="O11" s="87">
        <v>6</v>
      </c>
      <c r="P11" s="87">
        <v>6</v>
      </c>
      <c r="Q11" s="45">
        <v>6</v>
      </c>
      <c r="R11" s="87">
        <v>225</v>
      </c>
      <c r="S11" s="87">
        <v>66</v>
      </c>
      <c r="T11" s="87">
        <v>66</v>
      </c>
      <c r="U11" s="87">
        <v>66</v>
      </c>
      <c r="V11" s="45">
        <f>S11-65</f>
        <v>1</v>
      </c>
    </row>
    <row r="12" spans="1:28" ht="15.95" customHeight="1" x14ac:dyDescent="0.25">
      <c r="A12" s="15" t="s">
        <v>16</v>
      </c>
      <c r="B12" s="18" t="s">
        <v>17</v>
      </c>
      <c r="C12" s="87">
        <v>27</v>
      </c>
      <c r="D12" s="87">
        <v>14</v>
      </c>
      <c r="E12" s="87">
        <v>14</v>
      </c>
      <c r="F12" s="87">
        <v>14</v>
      </c>
      <c r="G12" s="45">
        <f>D12-14</f>
        <v>0</v>
      </c>
      <c r="H12" s="87">
        <v>15</v>
      </c>
      <c r="I12" s="87">
        <v>10</v>
      </c>
      <c r="J12" s="87">
        <v>10</v>
      </c>
      <c r="K12" s="87">
        <v>10</v>
      </c>
      <c r="L12" s="45">
        <f>I12-10</f>
        <v>0</v>
      </c>
      <c r="M12" s="87">
        <v>12</v>
      </c>
      <c r="N12" s="87">
        <v>4</v>
      </c>
      <c r="O12" s="87">
        <v>4</v>
      </c>
      <c r="P12" s="87">
        <v>4</v>
      </c>
      <c r="Q12" s="45">
        <f>N12-4</f>
        <v>0</v>
      </c>
      <c r="R12" s="87" t="s">
        <v>11</v>
      </c>
      <c r="S12" s="87" t="s">
        <v>11</v>
      </c>
      <c r="T12" s="87" t="s">
        <v>11</v>
      </c>
      <c r="U12" s="87" t="s">
        <v>11</v>
      </c>
      <c r="V12" s="45" t="s">
        <v>11</v>
      </c>
    </row>
    <row r="13" spans="1:28" ht="15.95" customHeight="1" x14ac:dyDescent="0.25">
      <c r="A13" s="15" t="s">
        <v>18</v>
      </c>
      <c r="B13" s="18" t="s">
        <v>19</v>
      </c>
      <c r="C13" s="87">
        <v>127</v>
      </c>
      <c r="D13" s="87">
        <v>20</v>
      </c>
      <c r="E13" s="87">
        <v>20</v>
      </c>
      <c r="F13" s="87">
        <v>20</v>
      </c>
      <c r="G13" s="45">
        <f>D13-22</f>
        <v>-2</v>
      </c>
      <c r="H13" s="87">
        <v>127</v>
      </c>
      <c r="I13" s="87">
        <v>20</v>
      </c>
      <c r="J13" s="87">
        <v>20</v>
      </c>
      <c r="K13" s="87">
        <v>20</v>
      </c>
      <c r="L13" s="45">
        <f>I13-22</f>
        <v>-2</v>
      </c>
      <c r="M13" s="87" t="s">
        <v>11</v>
      </c>
      <c r="N13" s="87" t="s">
        <v>11</v>
      </c>
      <c r="O13" s="87" t="s">
        <v>11</v>
      </c>
      <c r="P13" s="87" t="s">
        <v>11</v>
      </c>
      <c r="Q13" s="45" t="s">
        <v>11</v>
      </c>
      <c r="R13" s="87" t="s">
        <v>11</v>
      </c>
      <c r="S13" s="87" t="s">
        <v>11</v>
      </c>
      <c r="T13" s="87" t="s">
        <v>11</v>
      </c>
      <c r="U13" s="87" t="s">
        <v>11</v>
      </c>
      <c r="V13" s="45" t="s">
        <v>11</v>
      </c>
    </row>
    <row r="14" spans="1:28" ht="15.95" customHeight="1" x14ac:dyDescent="0.25">
      <c r="A14" s="15" t="s">
        <v>20</v>
      </c>
      <c r="B14" s="18" t="s">
        <v>21</v>
      </c>
      <c r="C14" s="87">
        <v>262</v>
      </c>
      <c r="D14" s="87">
        <v>103</v>
      </c>
      <c r="E14" s="87">
        <v>103</v>
      </c>
      <c r="F14" s="87">
        <v>103</v>
      </c>
      <c r="G14" s="45">
        <f>D14-104</f>
        <v>-1</v>
      </c>
      <c r="H14" s="87">
        <v>86</v>
      </c>
      <c r="I14" s="87">
        <v>15</v>
      </c>
      <c r="J14" s="87">
        <v>15</v>
      </c>
      <c r="K14" s="87">
        <v>15</v>
      </c>
      <c r="L14" s="45">
        <f>I14-15</f>
        <v>0</v>
      </c>
      <c r="M14" s="87">
        <v>16</v>
      </c>
      <c r="N14" s="87">
        <v>4</v>
      </c>
      <c r="O14" s="87">
        <v>4</v>
      </c>
      <c r="P14" s="87">
        <v>4</v>
      </c>
      <c r="Q14" s="45">
        <f>N14-4</f>
        <v>0</v>
      </c>
      <c r="R14" s="87">
        <v>160</v>
      </c>
      <c r="S14" s="87">
        <v>84</v>
      </c>
      <c r="T14" s="87">
        <v>84</v>
      </c>
      <c r="U14" s="87">
        <v>84</v>
      </c>
      <c r="V14" s="45">
        <f>S14-85</f>
        <v>-1</v>
      </c>
    </row>
    <row r="15" spans="1:28" ht="15.95" customHeight="1" x14ac:dyDescent="0.25">
      <c r="A15" s="15" t="s">
        <v>22</v>
      </c>
      <c r="B15" s="18" t="s">
        <v>23</v>
      </c>
      <c r="C15" s="87">
        <v>450</v>
      </c>
      <c r="D15" s="87">
        <v>159</v>
      </c>
      <c r="E15" s="87">
        <v>159</v>
      </c>
      <c r="F15" s="87">
        <v>159</v>
      </c>
      <c r="G15" s="45">
        <f>D15-172</f>
        <v>-13</v>
      </c>
      <c r="H15" s="87">
        <v>98</v>
      </c>
      <c r="I15" s="87">
        <v>32</v>
      </c>
      <c r="J15" s="87">
        <v>32</v>
      </c>
      <c r="K15" s="87">
        <v>32</v>
      </c>
      <c r="L15" s="45">
        <f>I15-36</f>
        <v>-4</v>
      </c>
      <c r="M15" s="87" t="s">
        <v>11</v>
      </c>
      <c r="N15" s="87" t="s">
        <v>11</v>
      </c>
      <c r="O15" s="87" t="s">
        <v>11</v>
      </c>
      <c r="P15" s="87" t="s">
        <v>11</v>
      </c>
      <c r="Q15" s="45" t="s">
        <v>11</v>
      </c>
      <c r="R15" s="87">
        <v>352</v>
      </c>
      <c r="S15" s="87">
        <v>127</v>
      </c>
      <c r="T15" s="87">
        <v>127</v>
      </c>
      <c r="U15" s="87">
        <v>127</v>
      </c>
      <c r="V15" s="45">
        <f>S15-136</f>
        <v>-9</v>
      </c>
    </row>
    <row r="16" spans="1:28" ht="15.95" customHeight="1" x14ac:dyDescent="0.25">
      <c r="A16" s="158" t="s">
        <v>30</v>
      </c>
      <c r="B16" s="158"/>
      <c r="C16" s="21">
        <f t="shared" ref="C16:V16" si="0">SUM(C9:C15)</f>
        <v>2029</v>
      </c>
      <c r="D16" s="21">
        <f t="shared" si="0"/>
        <v>662</v>
      </c>
      <c r="E16" s="21">
        <f t="shared" si="0"/>
        <v>652</v>
      </c>
      <c r="F16" s="21">
        <f t="shared" si="0"/>
        <v>658</v>
      </c>
      <c r="G16" s="21">
        <f>SUM(G9:G15)</f>
        <v>17</v>
      </c>
      <c r="H16" s="21">
        <f t="shared" si="0"/>
        <v>676</v>
      </c>
      <c r="I16" s="21">
        <f t="shared" si="0"/>
        <v>172</v>
      </c>
      <c r="J16" s="21">
        <f t="shared" si="0"/>
        <v>166</v>
      </c>
      <c r="K16" s="21">
        <f t="shared" si="0"/>
        <v>172</v>
      </c>
      <c r="L16" s="21">
        <f t="shared" si="0"/>
        <v>-7</v>
      </c>
      <c r="M16" s="21">
        <f t="shared" si="0"/>
        <v>344</v>
      </c>
      <c r="N16" s="21">
        <f t="shared" si="0"/>
        <v>121</v>
      </c>
      <c r="O16" s="21">
        <f t="shared" si="0"/>
        <v>121</v>
      </c>
      <c r="P16" s="21">
        <f t="shared" si="0"/>
        <v>121</v>
      </c>
      <c r="Q16" s="21">
        <f t="shared" si="0"/>
        <v>40</v>
      </c>
      <c r="R16" s="21">
        <f t="shared" si="0"/>
        <v>1009</v>
      </c>
      <c r="S16" s="21">
        <f t="shared" si="0"/>
        <v>369</v>
      </c>
      <c r="T16" s="21">
        <f t="shared" si="0"/>
        <v>365</v>
      </c>
      <c r="U16" s="21">
        <f t="shared" si="0"/>
        <v>365</v>
      </c>
      <c r="V16" s="21">
        <f t="shared" si="0"/>
        <v>-10</v>
      </c>
    </row>
    <row r="17" spans="1:22" ht="15.95" customHeight="1" x14ac:dyDescent="0.25">
      <c r="A17" s="158" t="s">
        <v>32</v>
      </c>
      <c r="B17" s="158"/>
      <c r="C17" s="21">
        <f t="shared" ref="C17:L17" si="1">C16/7</f>
        <v>289.85714285714283</v>
      </c>
      <c r="D17" s="21">
        <f t="shared" si="1"/>
        <v>94.571428571428569</v>
      </c>
      <c r="E17" s="21">
        <f t="shared" si="1"/>
        <v>93.142857142857139</v>
      </c>
      <c r="F17" s="21">
        <f t="shared" si="1"/>
        <v>94</v>
      </c>
      <c r="G17" s="21">
        <f t="shared" si="1"/>
        <v>2.4285714285714284</v>
      </c>
      <c r="H17" s="21">
        <f t="shared" si="1"/>
        <v>96.571428571428569</v>
      </c>
      <c r="I17" s="21">
        <f t="shared" si="1"/>
        <v>24.571428571428573</v>
      </c>
      <c r="J17" s="21">
        <f t="shared" si="1"/>
        <v>23.714285714285715</v>
      </c>
      <c r="K17" s="21">
        <f t="shared" si="1"/>
        <v>24.571428571428573</v>
      </c>
      <c r="L17" s="38">
        <f t="shared" si="1"/>
        <v>-1</v>
      </c>
      <c r="M17" s="21">
        <f>M16/5</f>
        <v>68.8</v>
      </c>
      <c r="N17" s="21">
        <f>N16/5</f>
        <v>24.2</v>
      </c>
      <c r="O17" s="21">
        <f>O16/5</f>
        <v>24.2</v>
      </c>
      <c r="P17" s="21">
        <f>P16/5</f>
        <v>24.2</v>
      </c>
      <c r="Q17" s="21">
        <f>Q16/5</f>
        <v>8</v>
      </c>
      <c r="R17" s="21">
        <f t="shared" ref="R17:V17" si="2">R16/4</f>
        <v>252.25</v>
      </c>
      <c r="S17" s="21">
        <f t="shared" si="2"/>
        <v>92.25</v>
      </c>
      <c r="T17" s="21">
        <f t="shared" si="2"/>
        <v>91.25</v>
      </c>
      <c r="U17" s="21">
        <f t="shared" si="2"/>
        <v>91.25</v>
      </c>
      <c r="V17" s="21">
        <f t="shared" si="2"/>
        <v>-2.5</v>
      </c>
    </row>
    <row r="18" spans="1:22" ht="15.95" customHeight="1" x14ac:dyDescent="0.25">
      <c r="A18" s="134" t="s">
        <v>24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6"/>
      <c r="V18" s="41"/>
    </row>
    <row r="19" spans="1:22" ht="15.95" customHeight="1" x14ac:dyDescent="0.25">
      <c r="A19" s="15" t="s">
        <v>8</v>
      </c>
      <c r="B19" s="18" t="s">
        <v>25</v>
      </c>
      <c r="C19" s="87">
        <v>130</v>
      </c>
      <c r="D19" s="87">
        <v>70</v>
      </c>
      <c r="E19" s="87">
        <v>17</v>
      </c>
      <c r="F19" s="87">
        <v>69</v>
      </c>
      <c r="G19" s="45">
        <f>D19-89</f>
        <v>-19</v>
      </c>
      <c r="H19" s="87">
        <v>50</v>
      </c>
      <c r="I19" s="87">
        <v>17</v>
      </c>
      <c r="J19" s="87">
        <v>17</v>
      </c>
      <c r="K19" s="87">
        <v>17</v>
      </c>
      <c r="L19" s="45">
        <f>I19-41</f>
        <v>-24</v>
      </c>
      <c r="M19" s="87">
        <v>5</v>
      </c>
      <c r="N19" s="87">
        <v>3</v>
      </c>
      <c r="O19" s="87">
        <v>0</v>
      </c>
      <c r="P19" s="87">
        <v>3</v>
      </c>
      <c r="Q19" s="45">
        <f>N19-2</f>
        <v>1</v>
      </c>
      <c r="R19" s="87">
        <v>75</v>
      </c>
      <c r="S19" s="87">
        <v>50</v>
      </c>
      <c r="T19" s="87">
        <v>0</v>
      </c>
      <c r="U19" s="87">
        <v>49</v>
      </c>
      <c r="V19" s="45">
        <f>S19-46</f>
        <v>4</v>
      </c>
    </row>
    <row r="20" spans="1:22" ht="15.95" customHeight="1" x14ac:dyDescent="0.25">
      <c r="A20" s="15" t="s">
        <v>12</v>
      </c>
      <c r="B20" s="18" t="s">
        <v>26</v>
      </c>
      <c r="C20" s="87">
        <v>130</v>
      </c>
      <c r="D20" s="87">
        <v>43</v>
      </c>
      <c r="E20" s="87">
        <v>43</v>
      </c>
      <c r="F20" s="87">
        <v>43</v>
      </c>
      <c r="G20" s="45">
        <f>D20-43</f>
        <v>0</v>
      </c>
      <c r="H20" s="87">
        <v>69</v>
      </c>
      <c r="I20" s="87">
        <v>19</v>
      </c>
      <c r="J20" s="87">
        <v>19</v>
      </c>
      <c r="K20" s="87">
        <v>19</v>
      </c>
      <c r="L20" s="45">
        <f>I20-19</f>
        <v>0</v>
      </c>
      <c r="M20" s="87" t="s">
        <v>11</v>
      </c>
      <c r="N20" s="87" t="s">
        <v>11</v>
      </c>
      <c r="O20" s="87" t="s">
        <v>11</v>
      </c>
      <c r="P20" s="87" t="s">
        <v>11</v>
      </c>
      <c r="Q20" s="45" t="s">
        <v>11</v>
      </c>
      <c r="R20" s="87">
        <v>61</v>
      </c>
      <c r="S20" s="87">
        <v>24</v>
      </c>
      <c r="T20" s="87">
        <v>24</v>
      </c>
      <c r="U20" s="87">
        <v>24</v>
      </c>
      <c r="V20" s="45">
        <f>S20-24</f>
        <v>0</v>
      </c>
    </row>
    <row r="21" spans="1:22" ht="15.95" customHeight="1" x14ac:dyDescent="0.25">
      <c r="A21" s="15" t="s">
        <v>14</v>
      </c>
      <c r="B21" s="18" t="s">
        <v>27</v>
      </c>
      <c r="C21" s="87">
        <v>205</v>
      </c>
      <c r="D21" s="87">
        <v>99</v>
      </c>
      <c r="E21" s="87">
        <v>99</v>
      </c>
      <c r="F21" s="87">
        <v>99</v>
      </c>
      <c r="G21" s="45">
        <f>D21-99</f>
        <v>0</v>
      </c>
      <c r="H21" s="87">
        <v>40</v>
      </c>
      <c r="I21" s="87">
        <v>16</v>
      </c>
      <c r="J21" s="87">
        <v>16</v>
      </c>
      <c r="K21" s="87">
        <v>16</v>
      </c>
      <c r="L21" s="45">
        <f>I21-16</f>
        <v>0</v>
      </c>
      <c r="M21" s="87" t="s">
        <v>11</v>
      </c>
      <c r="N21" s="87" t="s">
        <v>11</v>
      </c>
      <c r="O21" s="87" t="s">
        <v>11</v>
      </c>
      <c r="P21" s="87" t="s">
        <v>11</v>
      </c>
      <c r="Q21" s="45" t="s">
        <v>11</v>
      </c>
      <c r="R21" s="87">
        <v>165</v>
      </c>
      <c r="S21" s="87">
        <v>83</v>
      </c>
      <c r="T21" s="87">
        <v>83</v>
      </c>
      <c r="U21" s="87">
        <v>83</v>
      </c>
      <c r="V21" s="45">
        <f>S21-83</f>
        <v>0</v>
      </c>
    </row>
    <row r="22" spans="1:22" ht="15.95" customHeight="1" x14ac:dyDescent="0.25">
      <c r="A22" s="15" t="s">
        <v>16</v>
      </c>
      <c r="B22" s="18" t="s">
        <v>28</v>
      </c>
      <c r="C22" s="87">
        <v>408</v>
      </c>
      <c r="D22" s="87">
        <v>125</v>
      </c>
      <c r="E22" s="87">
        <v>125</v>
      </c>
      <c r="F22" s="87">
        <v>125</v>
      </c>
      <c r="G22" s="45">
        <f>D22-125</f>
        <v>0</v>
      </c>
      <c r="H22" s="87">
        <v>116</v>
      </c>
      <c r="I22" s="87">
        <v>31</v>
      </c>
      <c r="J22" s="87">
        <v>31</v>
      </c>
      <c r="K22" s="87">
        <v>31</v>
      </c>
      <c r="L22" s="45">
        <f>I22-31</f>
        <v>0</v>
      </c>
      <c r="M22" s="87">
        <v>22</v>
      </c>
      <c r="N22" s="87">
        <v>10</v>
      </c>
      <c r="O22" s="87">
        <v>10</v>
      </c>
      <c r="P22" s="87">
        <v>10</v>
      </c>
      <c r="Q22" s="45">
        <f>N22-10</f>
        <v>0</v>
      </c>
      <c r="R22" s="87">
        <v>270</v>
      </c>
      <c r="S22" s="87">
        <v>84</v>
      </c>
      <c r="T22" s="87">
        <v>84</v>
      </c>
      <c r="U22" s="87">
        <v>84</v>
      </c>
      <c r="V22" s="45">
        <f>S22-84</f>
        <v>0</v>
      </c>
    </row>
    <row r="23" spans="1:22" ht="15.95" customHeight="1" x14ac:dyDescent="0.25">
      <c r="A23" s="158" t="s">
        <v>30</v>
      </c>
      <c r="B23" s="158"/>
      <c r="C23" s="21">
        <f t="shared" ref="C23:V23" si="3">SUM(C19:C22)</f>
        <v>873</v>
      </c>
      <c r="D23" s="21">
        <f t="shared" si="3"/>
        <v>337</v>
      </c>
      <c r="E23" s="21">
        <f t="shared" si="3"/>
        <v>284</v>
      </c>
      <c r="F23" s="21">
        <f t="shared" si="3"/>
        <v>336</v>
      </c>
      <c r="G23" s="21">
        <f t="shared" si="3"/>
        <v>-19</v>
      </c>
      <c r="H23" s="21">
        <f t="shared" si="3"/>
        <v>275</v>
      </c>
      <c r="I23" s="21">
        <f t="shared" si="3"/>
        <v>83</v>
      </c>
      <c r="J23" s="21">
        <f t="shared" si="3"/>
        <v>83</v>
      </c>
      <c r="K23" s="21">
        <f t="shared" si="3"/>
        <v>83</v>
      </c>
      <c r="L23" s="21">
        <f t="shared" si="3"/>
        <v>-24</v>
      </c>
      <c r="M23" s="21">
        <f t="shared" si="3"/>
        <v>27</v>
      </c>
      <c r="N23" s="21">
        <f t="shared" si="3"/>
        <v>13</v>
      </c>
      <c r="O23" s="21">
        <f t="shared" si="3"/>
        <v>10</v>
      </c>
      <c r="P23" s="21">
        <f t="shared" si="3"/>
        <v>13</v>
      </c>
      <c r="Q23" s="21">
        <f t="shared" si="3"/>
        <v>1</v>
      </c>
      <c r="R23" s="21">
        <f t="shared" si="3"/>
        <v>571</v>
      </c>
      <c r="S23" s="21">
        <f t="shared" si="3"/>
        <v>241</v>
      </c>
      <c r="T23" s="21">
        <f t="shared" si="3"/>
        <v>191</v>
      </c>
      <c r="U23" s="21">
        <f t="shared" si="3"/>
        <v>240</v>
      </c>
      <c r="V23" s="21">
        <f t="shared" si="3"/>
        <v>4</v>
      </c>
    </row>
    <row r="24" spans="1:22" ht="15.95" customHeight="1" x14ac:dyDescent="0.25">
      <c r="A24" s="158" t="s">
        <v>32</v>
      </c>
      <c r="B24" s="158"/>
      <c r="C24" s="21">
        <f t="shared" ref="C24:L24" si="4">C23/4</f>
        <v>218.25</v>
      </c>
      <c r="D24" s="21">
        <f t="shared" si="4"/>
        <v>84.25</v>
      </c>
      <c r="E24" s="21">
        <f t="shared" si="4"/>
        <v>71</v>
      </c>
      <c r="F24" s="21">
        <f t="shared" si="4"/>
        <v>84</v>
      </c>
      <c r="G24" s="21">
        <f t="shared" si="4"/>
        <v>-4.75</v>
      </c>
      <c r="H24" s="21">
        <f t="shared" si="4"/>
        <v>68.75</v>
      </c>
      <c r="I24" s="21">
        <f t="shared" si="4"/>
        <v>20.75</v>
      </c>
      <c r="J24" s="21">
        <f t="shared" si="4"/>
        <v>20.75</v>
      </c>
      <c r="K24" s="21">
        <f t="shared" si="4"/>
        <v>20.75</v>
      </c>
      <c r="L24" s="38">
        <f t="shared" si="4"/>
        <v>-6</v>
      </c>
      <c r="M24" s="21">
        <f>M23/2</f>
        <v>13.5</v>
      </c>
      <c r="N24" s="21">
        <f>N23/2</f>
        <v>6.5</v>
      </c>
      <c r="O24" s="21">
        <f>O23/2</f>
        <v>5</v>
      </c>
      <c r="P24" s="21">
        <f>P23/2</f>
        <v>6.5</v>
      </c>
      <c r="Q24" s="21">
        <v>0</v>
      </c>
      <c r="R24" s="21">
        <f>R23/4</f>
        <v>142.75</v>
      </c>
      <c r="S24" s="21">
        <f>S23/4</f>
        <v>60.25</v>
      </c>
      <c r="T24" s="21">
        <f>T23/4</f>
        <v>47.75</v>
      </c>
      <c r="U24" s="21">
        <f>U23/4</f>
        <v>60</v>
      </c>
      <c r="V24" s="21">
        <f>V23/4</f>
        <v>1</v>
      </c>
    </row>
    <row r="25" spans="1:22" ht="30" customHeight="1" x14ac:dyDescent="0.25">
      <c r="A25" s="159" t="s">
        <v>29</v>
      </c>
      <c r="B25" s="159"/>
      <c r="C25" s="51">
        <f t="shared" ref="C25:P25" si="5">SUM(C16,C23)</f>
        <v>2902</v>
      </c>
      <c r="D25" s="51">
        <f t="shared" si="5"/>
        <v>999</v>
      </c>
      <c r="E25" s="51">
        <f t="shared" si="5"/>
        <v>936</v>
      </c>
      <c r="F25" s="51">
        <f t="shared" si="5"/>
        <v>994</v>
      </c>
      <c r="G25" s="51">
        <f t="shared" si="5"/>
        <v>-2</v>
      </c>
      <c r="H25" s="51">
        <f t="shared" si="5"/>
        <v>951</v>
      </c>
      <c r="I25" s="51">
        <f t="shared" si="5"/>
        <v>255</v>
      </c>
      <c r="J25" s="51">
        <f t="shared" si="5"/>
        <v>249</v>
      </c>
      <c r="K25" s="51">
        <f t="shared" si="5"/>
        <v>255</v>
      </c>
      <c r="L25" s="51">
        <f t="shared" si="5"/>
        <v>-31</v>
      </c>
      <c r="M25" s="51">
        <f t="shared" si="5"/>
        <v>371</v>
      </c>
      <c r="N25" s="51">
        <f t="shared" si="5"/>
        <v>134</v>
      </c>
      <c r="O25" s="51">
        <f t="shared" si="5"/>
        <v>131</v>
      </c>
      <c r="P25" s="51">
        <f t="shared" si="5"/>
        <v>134</v>
      </c>
      <c r="Q25" s="51">
        <v>8</v>
      </c>
      <c r="R25" s="51">
        <f>SUM(R16,R23)</f>
        <v>1580</v>
      </c>
      <c r="S25" s="51">
        <f>SUM(S16,S23)</f>
        <v>610</v>
      </c>
      <c r="T25" s="51">
        <f>SUM(T16,T23)</f>
        <v>556</v>
      </c>
      <c r="U25" s="51">
        <f>SUM(U16,U23)</f>
        <v>605</v>
      </c>
      <c r="V25" s="51">
        <f>SUM(V16,V23)</f>
        <v>-6</v>
      </c>
    </row>
    <row r="26" spans="1:22" ht="33" customHeight="1" x14ac:dyDescent="0.25">
      <c r="A26" s="159" t="s">
        <v>31</v>
      </c>
      <c r="B26" s="159"/>
      <c r="C26" s="51">
        <f t="shared" ref="C26:L26" si="6">C25/11</f>
        <v>263.81818181818181</v>
      </c>
      <c r="D26" s="51">
        <f t="shared" si="6"/>
        <v>90.818181818181813</v>
      </c>
      <c r="E26" s="51">
        <f t="shared" si="6"/>
        <v>85.090909090909093</v>
      </c>
      <c r="F26" s="51">
        <f t="shared" si="6"/>
        <v>90.36363636363636</v>
      </c>
      <c r="G26" s="51">
        <f t="shared" si="6"/>
        <v>-0.18181818181818182</v>
      </c>
      <c r="H26" s="51">
        <f t="shared" si="6"/>
        <v>86.454545454545453</v>
      </c>
      <c r="I26" s="51">
        <f t="shared" si="6"/>
        <v>23.181818181818183</v>
      </c>
      <c r="J26" s="51">
        <f t="shared" si="6"/>
        <v>22.636363636363637</v>
      </c>
      <c r="K26" s="51">
        <f t="shared" si="6"/>
        <v>23.181818181818183</v>
      </c>
      <c r="L26" s="70">
        <f t="shared" si="6"/>
        <v>-2.8181818181818183</v>
      </c>
      <c r="M26" s="51">
        <f>M25/7</f>
        <v>53</v>
      </c>
      <c r="N26" s="51">
        <f>N25/7</f>
        <v>19.142857142857142</v>
      </c>
      <c r="O26" s="51">
        <f>O25/7</f>
        <v>18.714285714285715</v>
      </c>
      <c r="P26" s="51">
        <f>P25/7</f>
        <v>19.142857142857142</v>
      </c>
      <c r="Q26" s="51">
        <f>Q25/7</f>
        <v>1.1428571428571428</v>
      </c>
      <c r="R26" s="51">
        <f>R25/8</f>
        <v>197.5</v>
      </c>
      <c r="S26" s="51">
        <f>S25/8</f>
        <v>76.25</v>
      </c>
      <c r="T26" s="51">
        <f>T25/8</f>
        <v>69.5</v>
      </c>
      <c r="U26" s="51">
        <f>U25/8</f>
        <v>75.625</v>
      </c>
      <c r="V26" s="51">
        <f>V25/8</f>
        <v>-0.75</v>
      </c>
    </row>
  </sheetData>
  <mergeCells count="32">
    <mergeCell ref="A8:U8"/>
    <mergeCell ref="A26:B26"/>
    <mergeCell ref="E6:F6"/>
    <mergeCell ref="C6:C7"/>
    <mergeCell ref="A5:A7"/>
    <mergeCell ref="B5:B7"/>
    <mergeCell ref="C5:F5"/>
    <mergeCell ref="J6:K6"/>
    <mergeCell ref="A18:U18"/>
    <mergeCell ref="A16:B16"/>
    <mergeCell ref="A17:B17"/>
    <mergeCell ref="A23:B23"/>
    <mergeCell ref="A24:B24"/>
    <mergeCell ref="A25:B25"/>
    <mergeCell ref="M5:P5"/>
    <mergeCell ref="R5:U5"/>
    <mergeCell ref="A2:V2"/>
    <mergeCell ref="A3:V3"/>
    <mergeCell ref="D6:D7"/>
    <mergeCell ref="I6:I7"/>
    <mergeCell ref="N6:N7"/>
    <mergeCell ref="S6:S7"/>
    <mergeCell ref="H5:K5"/>
    <mergeCell ref="H6:H7"/>
    <mergeCell ref="G5:G7"/>
    <mergeCell ref="L5:L7"/>
    <mergeCell ref="Q5:Q7"/>
    <mergeCell ref="V5:V7"/>
    <mergeCell ref="O6:P6"/>
    <mergeCell ref="T6:U6"/>
    <mergeCell ref="M6:M7"/>
    <mergeCell ref="R6:R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T36"/>
  <sheetViews>
    <sheetView workbookViewId="0">
      <selection activeCell="R37" sqref="R37"/>
    </sheetView>
  </sheetViews>
  <sheetFormatPr defaultRowHeight="15" x14ac:dyDescent="0.25"/>
  <cols>
    <col min="1" max="1" width="3.7109375" customWidth="1"/>
    <col min="2" max="2" width="29.28515625" customWidth="1"/>
    <col min="3" max="4" width="8.85546875" customWidth="1"/>
    <col min="5" max="5" width="10.42578125" customWidth="1"/>
    <col min="6" max="6" width="15.85546875" customWidth="1"/>
    <col min="7" max="7" width="8.85546875" customWidth="1"/>
    <col min="8" max="8" width="8.7109375" customWidth="1"/>
    <col min="9" max="9" width="10.7109375" customWidth="1"/>
    <col min="10" max="10" width="15.85546875" customWidth="1"/>
    <col min="11" max="11" width="8.85546875" customWidth="1"/>
    <col min="12" max="12" width="9" customWidth="1"/>
    <col min="13" max="13" width="10.5703125" customWidth="1"/>
    <col min="14" max="14" width="16" customWidth="1"/>
    <col min="15" max="16" width="8.7109375" customWidth="1"/>
    <col min="17" max="17" width="10.5703125" customWidth="1"/>
    <col min="18" max="18" width="16.140625" customWidth="1"/>
  </cols>
  <sheetData>
    <row r="2" spans="1:19" ht="15.75" x14ac:dyDescent="0.25">
      <c r="A2" s="137" t="s">
        <v>101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</row>
    <row r="4" spans="1:19" ht="15.95" customHeight="1" x14ac:dyDescent="0.25">
      <c r="A4" s="111" t="s">
        <v>0</v>
      </c>
      <c r="B4" s="111" t="s">
        <v>1</v>
      </c>
      <c r="C4" s="167" t="s">
        <v>47</v>
      </c>
      <c r="D4" s="167"/>
      <c r="E4" s="167"/>
      <c r="F4" s="167"/>
      <c r="G4" s="161" t="s">
        <v>3</v>
      </c>
      <c r="H4" s="162"/>
      <c r="I4" s="162"/>
      <c r="J4" s="163"/>
      <c r="K4" s="167" t="s">
        <v>45</v>
      </c>
      <c r="L4" s="167"/>
      <c r="M4" s="167"/>
      <c r="N4" s="167"/>
      <c r="O4" s="167" t="s">
        <v>46</v>
      </c>
      <c r="P4" s="167"/>
      <c r="Q4" s="167"/>
      <c r="R4" s="167"/>
    </row>
    <row r="5" spans="1:19" ht="29.25" customHeight="1" x14ac:dyDescent="0.25">
      <c r="A5" s="111"/>
      <c r="B5" s="111"/>
      <c r="C5" s="111" t="s">
        <v>73</v>
      </c>
      <c r="D5" s="111" t="s">
        <v>75</v>
      </c>
      <c r="E5" s="139" t="s">
        <v>74</v>
      </c>
      <c r="F5" s="139" t="s">
        <v>105</v>
      </c>
      <c r="G5" s="111" t="s">
        <v>73</v>
      </c>
      <c r="H5" s="111" t="s">
        <v>75</v>
      </c>
      <c r="I5" s="139" t="s">
        <v>74</v>
      </c>
      <c r="J5" s="139" t="s">
        <v>105</v>
      </c>
      <c r="K5" s="111" t="s">
        <v>73</v>
      </c>
      <c r="L5" s="111" t="s">
        <v>75</v>
      </c>
      <c r="M5" s="139" t="s">
        <v>74</v>
      </c>
      <c r="N5" s="139" t="s">
        <v>105</v>
      </c>
      <c r="O5" s="111" t="s">
        <v>73</v>
      </c>
      <c r="P5" s="111" t="s">
        <v>75</v>
      </c>
      <c r="Q5" s="139" t="s">
        <v>74</v>
      </c>
      <c r="R5" s="139" t="s">
        <v>105</v>
      </c>
    </row>
    <row r="6" spans="1:19" ht="48.75" customHeight="1" x14ac:dyDescent="0.25">
      <c r="A6" s="111"/>
      <c r="B6" s="111"/>
      <c r="C6" s="111"/>
      <c r="D6" s="111"/>
      <c r="E6" s="140"/>
      <c r="F6" s="140"/>
      <c r="G6" s="111"/>
      <c r="H6" s="111"/>
      <c r="I6" s="140"/>
      <c r="J6" s="140"/>
      <c r="K6" s="111"/>
      <c r="L6" s="111"/>
      <c r="M6" s="140"/>
      <c r="N6" s="140"/>
      <c r="O6" s="111"/>
      <c r="P6" s="111"/>
      <c r="Q6" s="140"/>
      <c r="R6" s="140"/>
    </row>
    <row r="7" spans="1:19" ht="15.95" customHeight="1" x14ac:dyDescent="0.25">
      <c r="A7" s="134" t="s">
        <v>7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6"/>
    </row>
    <row r="8" spans="1:19" ht="15.95" customHeight="1" x14ac:dyDescent="0.25">
      <c r="A8" s="15" t="s">
        <v>8</v>
      </c>
      <c r="B8" s="18" t="s">
        <v>9</v>
      </c>
      <c r="C8" s="87">
        <v>71576</v>
      </c>
      <c r="D8" s="87">
        <v>71558</v>
      </c>
      <c r="E8" s="88">
        <f>C8/12</f>
        <v>5964.666666666667</v>
      </c>
      <c r="F8" s="87">
        <f>E8-5724</f>
        <v>240.66666666666697</v>
      </c>
      <c r="G8" s="87">
        <v>16926</v>
      </c>
      <c r="H8" s="87">
        <v>16913</v>
      </c>
      <c r="I8" s="87">
        <v>16926</v>
      </c>
      <c r="J8" s="87">
        <f>I8-18474</f>
        <v>-1548</v>
      </c>
      <c r="K8" s="87">
        <f>52272+2378</f>
        <v>54650</v>
      </c>
      <c r="L8" s="87">
        <f>52267+2378</f>
        <v>54645</v>
      </c>
      <c r="M8" s="88">
        <f>K8/11</f>
        <v>4968.181818181818</v>
      </c>
      <c r="N8" s="87">
        <f>M8-4564</f>
        <v>404.18181818181802</v>
      </c>
      <c r="O8" s="87" t="s">
        <v>11</v>
      </c>
      <c r="P8" s="87" t="s">
        <v>11</v>
      </c>
      <c r="Q8" s="88" t="s">
        <v>11</v>
      </c>
      <c r="R8" s="87" t="s">
        <v>11</v>
      </c>
    </row>
    <row r="9" spans="1:19" ht="15.95" customHeight="1" x14ac:dyDescent="0.25">
      <c r="A9" s="15" t="s">
        <v>12</v>
      </c>
      <c r="B9" s="18" t="s">
        <v>13</v>
      </c>
      <c r="C9" s="87">
        <v>4648</v>
      </c>
      <c r="D9" s="87">
        <v>4567</v>
      </c>
      <c r="E9" s="88">
        <f>C9/26</f>
        <v>178.76923076923077</v>
      </c>
      <c r="F9" s="87">
        <f>E9-196</f>
        <v>-17.230769230769226</v>
      </c>
      <c r="G9" s="87">
        <v>433</v>
      </c>
      <c r="H9" s="87">
        <v>352</v>
      </c>
      <c r="I9" s="87">
        <v>433</v>
      </c>
      <c r="J9" s="87">
        <f>I9-457</f>
        <v>-24</v>
      </c>
      <c r="K9" s="87">
        <v>86</v>
      </c>
      <c r="L9" s="87">
        <v>86</v>
      </c>
      <c r="M9" s="87">
        <v>116</v>
      </c>
      <c r="N9" s="87">
        <f>M9-116</f>
        <v>0</v>
      </c>
      <c r="O9" s="87">
        <v>4129</v>
      </c>
      <c r="P9" s="87">
        <v>4129</v>
      </c>
      <c r="Q9" s="88">
        <f>O9/24</f>
        <v>172.04166666666666</v>
      </c>
      <c r="R9" s="87">
        <f>Q9-190</f>
        <v>-17.958333333333343</v>
      </c>
      <c r="S9" s="43"/>
    </row>
    <row r="10" spans="1:19" ht="15.95" customHeight="1" x14ac:dyDescent="0.25">
      <c r="A10" s="15" t="s">
        <v>14</v>
      </c>
      <c r="B10" s="18" t="s">
        <v>15</v>
      </c>
      <c r="C10" s="87">
        <v>17264</v>
      </c>
      <c r="D10" s="87">
        <v>17227</v>
      </c>
      <c r="E10" s="88">
        <f>C10/20</f>
        <v>863.2</v>
      </c>
      <c r="F10" s="87">
        <f>E10-667</f>
        <v>196.20000000000005</v>
      </c>
      <c r="G10" s="87">
        <v>13060</v>
      </c>
      <c r="H10" s="87">
        <v>13060</v>
      </c>
      <c r="I10" s="87">
        <v>13060</v>
      </c>
      <c r="J10" s="87">
        <f>I10-9696</f>
        <v>3364</v>
      </c>
      <c r="K10" s="87">
        <v>560</v>
      </c>
      <c r="L10" s="87">
        <v>560</v>
      </c>
      <c r="M10" s="87">
        <v>537</v>
      </c>
      <c r="N10" s="87">
        <f>M10-537</f>
        <v>0</v>
      </c>
      <c r="O10" s="87">
        <v>3644</v>
      </c>
      <c r="P10" s="87">
        <v>3607</v>
      </c>
      <c r="Q10" s="88">
        <f>O10/18</f>
        <v>202.44444444444446</v>
      </c>
      <c r="R10" s="87">
        <f>Q10-173</f>
        <v>29.444444444444457</v>
      </c>
      <c r="S10" s="43"/>
    </row>
    <row r="11" spans="1:19" ht="15.95" customHeight="1" x14ac:dyDescent="0.25">
      <c r="A11" s="15" t="s">
        <v>16</v>
      </c>
      <c r="B11" s="18" t="s">
        <v>17</v>
      </c>
      <c r="C11" s="87">
        <v>2011</v>
      </c>
      <c r="D11" s="87">
        <v>1668</v>
      </c>
      <c r="E11" s="88">
        <f>C11/3</f>
        <v>670.33333333333337</v>
      </c>
      <c r="F11" s="87">
        <f>E11-663</f>
        <v>7.3333333333333712</v>
      </c>
      <c r="G11" s="87">
        <v>1110</v>
      </c>
      <c r="H11" s="87">
        <v>1000</v>
      </c>
      <c r="I11" s="87">
        <v>1110</v>
      </c>
      <c r="J11" s="87">
        <f>I11-1105</f>
        <v>5</v>
      </c>
      <c r="K11" s="87">
        <v>901</v>
      </c>
      <c r="L11" s="87">
        <v>668</v>
      </c>
      <c r="M11" s="88">
        <f>K11/2</f>
        <v>450.5</v>
      </c>
      <c r="N11" s="87">
        <f>M11-443</f>
        <v>7.5</v>
      </c>
      <c r="O11" s="87" t="s">
        <v>11</v>
      </c>
      <c r="P11" s="87" t="s">
        <v>11</v>
      </c>
      <c r="Q11" s="88" t="s">
        <v>11</v>
      </c>
      <c r="R11" s="87" t="s">
        <v>11</v>
      </c>
    </row>
    <row r="12" spans="1:19" ht="15.95" customHeight="1" x14ac:dyDescent="0.25">
      <c r="A12" s="15" t="s">
        <v>18</v>
      </c>
      <c r="B12" s="18" t="s">
        <v>19</v>
      </c>
      <c r="C12" s="87">
        <v>1643</v>
      </c>
      <c r="D12" s="87">
        <v>1643</v>
      </c>
      <c r="E12" s="88">
        <f>C12/3</f>
        <v>547.66666666666663</v>
      </c>
      <c r="F12" s="87">
        <f>E12-414</f>
        <v>133.66666666666663</v>
      </c>
      <c r="G12" s="87">
        <v>1643</v>
      </c>
      <c r="H12" s="87">
        <v>1643</v>
      </c>
      <c r="I12" s="87">
        <v>1643</v>
      </c>
      <c r="J12" s="87">
        <f>I12-1243</f>
        <v>400</v>
      </c>
      <c r="K12" s="87" t="s">
        <v>11</v>
      </c>
      <c r="L12" s="87" t="s">
        <v>11</v>
      </c>
      <c r="M12" s="88" t="s">
        <v>11</v>
      </c>
      <c r="N12" s="87" t="s">
        <v>11</v>
      </c>
      <c r="O12" s="87" t="s">
        <v>11</v>
      </c>
      <c r="P12" s="87" t="s">
        <v>11</v>
      </c>
      <c r="Q12" s="88" t="s">
        <v>11</v>
      </c>
      <c r="R12" s="87" t="s">
        <v>11</v>
      </c>
    </row>
    <row r="13" spans="1:19" ht="15.95" customHeight="1" x14ac:dyDescent="0.25">
      <c r="A13" s="15" t="s">
        <v>20</v>
      </c>
      <c r="B13" s="18" t="s">
        <v>21</v>
      </c>
      <c r="C13" s="87">
        <v>8113</v>
      </c>
      <c r="D13" s="87">
        <v>7908</v>
      </c>
      <c r="E13" s="88">
        <f>C13/20</f>
        <v>405.65</v>
      </c>
      <c r="F13" s="87">
        <f>E13-563</f>
        <v>-157.35000000000002</v>
      </c>
      <c r="G13" s="87">
        <v>3784</v>
      </c>
      <c r="H13" s="87">
        <v>3784</v>
      </c>
      <c r="I13" s="87">
        <v>3784</v>
      </c>
      <c r="J13" s="87">
        <f>I13-4018</f>
        <v>-234</v>
      </c>
      <c r="K13" s="87">
        <v>416</v>
      </c>
      <c r="L13" s="87">
        <v>343</v>
      </c>
      <c r="M13" s="87">
        <v>542</v>
      </c>
      <c r="N13" s="87">
        <f>M13-542</f>
        <v>0</v>
      </c>
      <c r="O13" s="87">
        <v>3913</v>
      </c>
      <c r="P13" s="87">
        <v>3781</v>
      </c>
      <c r="Q13" s="88">
        <f>O13/13</f>
        <v>301</v>
      </c>
      <c r="R13" s="87">
        <f>Q13-300</f>
        <v>1</v>
      </c>
      <c r="S13" s="43"/>
    </row>
    <row r="14" spans="1:19" ht="15.95" customHeight="1" x14ac:dyDescent="0.25">
      <c r="A14" s="15" t="s">
        <v>22</v>
      </c>
      <c r="B14" s="18" t="s">
        <v>23</v>
      </c>
      <c r="C14" s="87">
        <v>14313</v>
      </c>
      <c r="D14" s="87">
        <v>14313</v>
      </c>
      <c r="E14" s="88">
        <f>C14/22</f>
        <v>650.59090909090912</v>
      </c>
      <c r="F14" s="87">
        <f>E14-591</f>
        <v>59.590909090909122</v>
      </c>
      <c r="G14" s="87">
        <v>5126</v>
      </c>
      <c r="H14" s="87">
        <v>5126</v>
      </c>
      <c r="I14" s="87">
        <v>5126</v>
      </c>
      <c r="J14" s="87">
        <f>I14-5679</f>
        <v>-553</v>
      </c>
      <c r="K14" s="87" t="s">
        <v>11</v>
      </c>
      <c r="L14" s="87" t="s">
        <v>11</v>
      </c>
      <c r="M14" s="88" t="s">
        <v>11</v>
      </c>
      <c r="N14" s="87" t="s">
        <v>11</v>
      </c>
      <c r="O14" s="87">
        <v>9187</v>
      </c>
      <c r="P14" s="87">
        <v>9187</v>
      </c>
      <c r="Q14" s="88">
        <f>O14/21</f>
        <v>437.47619047619048</v>
      </c>
      <c r="R14" s="87">
        <f>Q14-349</f>
        <v>88.476190476190482</v>
      </c>
      <c r="S14" s="43"/>
    </row>
    <row r="15" spans="1:19" ht="15.95" customHeight="1" x14ac:dyDescent="0.25">
      <c r="A15" s="158" t="s">
        <v>30</v>
      </c>
      <c r="B15" s="158"/>
      <c r="C15" s="21">
        <f t="shared" ref="C15:R15" si="0">SUM(C8:C14)</f>
        <v>119568</v>
      </c>
      <c r="D15" s="21">
        <f t="shared" si="0"/>
        <v>118884</v>
      </c>
      <c r="E15" s="21">
        <f t="shared" si="0"/>
        <v>9280.8768065268068</v>
      </c>
      <c r="F15" s="21">
        <f t="shared" si="0"/>
        <v>462.87680652680683</v>
      </c>
      <c r="G15" s="21">
        <f t="shared" si="0"/>
        <v>42082</v>
      </c>
      <c r="H15" s="21">
        <f t="shared" si="0"/>
        <v>41878</v>
      </c>
      <c r="I15" s="21">
        <f t="shared" si="0"/>
        <v>42082</v>
      </c>
      <c r="J15" s="21">
        <f t="shared" si="0"/>
        <v>1410</v>
      </c>
      <c r="K15" s="21">
        <f t="shared" si="0"/>
        <v>56613</v>
      </c>
      <c r="L15" s="21">
        <f t="shared" si="0"/>
        <v>56302</v>
      </c>
      <c r="M15" s="21">
        <f t="shared" si="0"/>
        <v>6613.681818181818</v>
      </c>
      <c r="N15" s="21">
        <f t="shared" si="0"/>
        <v>411.68181818181802</v>
      </c>
      <c r="O15" s="21">
        <f t="shared" si="0"/>
        <v>20873</v>
      </c>
      <c r="P15" s="21">
        <f t="shared" si="0"/>
        <v>20704</v>
      </c>
      <c r="Q15" s="21">
        <f t="shared" si="0"/>
        <v>1112.9623015873017</v>
      </c>
      <c r="R15" s="21">
        <f t="shared" si="0"/>
        <v>100.9623015873016</v>
      </c>
    </row>
    <row r="16" spans="1:19" ht="15.95" customHeight="1" x14ac:dyDescent="0.25">
      <c r="A16" s="158" t="s">
        <v>32</v>
      </c>
      <c r="B16" s="158"/>
      <c r="C16" s="21">
        <f t="shared" ref="C16:J16" si="1">C15/7</f>
        <v>17081.142857142859</v>
      </c>
      <c r="D16" s="21">
        <f t="shared" si="1"/>
        <v>16983.428571428572</v>
      </c>
      <c r="E16" s="21">
        <f t="shared" si="1"/>
        <v>1325.8395437895438</v>
      </c>
      <c r="F16" s="21">
        <f t="shared" si="1"/>
        <v>66.125258075258117</v>
      </c>
      <c r="G16" s="21">
        <f t="shared" si="1"/>
        <v>6011.7142857142853</v>
      </c>
      <c r="H16" s="21">
        <f t="shared" si="1"/>
        <v>5982.5714285714284</v>
      </c>
      <c r="I16" s="21">
        <f t="shared" si="1"/>
        <v>6011.7142857142853</v>
      </c>
      <c r="J16" s="21">
        <f t="shared" si="1"/>
        <v>201.42857142857142</v>
      </c>
      <c r="K16" s="21">
        <f>K15/5</f>
        <v>11322.6</v>
      </c>
      <c r="L16" s="21">
        <f>L15/5</f>
        <v>11260.4</v>
      </c>
      <c r="M16" s="21">
        <f>M15/5</f>
        <v>1322.7363636363636</v>
      </c>
      <c r="N16" s="21">
        <f>N15/5</f>
        <v>82.3363636363636</v>
      </c>
      <c r="O16" s="21">
        <f>O15/4</f>
        <v>5218.25</v>
      </c>
      <c r="P16" s="21">
        <f>P15/4</f>
        <v>5176</v>
      </c>
      <c r="Q16" s="21">
        <f>Q15/4</f>
        <v>278.24057539682542</v>
      </c>
      <c r="R16" s="21">
        <f>R15/4</f>
        <v>25.240575396825399</v>
      </c>
    </row>
    <row r="17" spans="1:19" ht="15.95" customHeight="1" x14ac:dyDescent="0.25">
      <c r="A17" s="134" t="s">
        <v>24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6"/>
    </row>
    <row r="18" spans="1:19" ht="15.95" customHeight="1" x14ac:dyDescent="0.25">
      <c r="A18" s="15" t="s">
        <v>8</v>
      </c>
      <c r="B18" s="18" t="s">
        <v>25</v>
      </c>
      <c r="C18" s="87">
        <v>4489</v>
      </c>
      <c r="D18" s="87">
        <v>3870</v>
      </c>
      <c r="E18" s="88">
        <f>C18/25</f>
        <v>179.56</v>
      </c>
      <c r="F18" s="87">
        <f>E18-215</f>
        <v>-35.44</v>
      </c>
      <c r="G18" s="87">
        <v>2339</v>
      </c>
      <c r="H18" s="87">
        <v>1867</v>
      </c>
      <c r="I18" s="87">
        <v>2339</v>
      </c>
      <c r="J18" s="87">
        <f>I18-3132</f>
        <v>-793</v>
      </c>
      <c r="K18" s="87">
        <v>21</v>
      </c>
      <c r="L18" s="87">
        <v>21</v>
      </c>
      <c r="M18" s="88">
        <v>14</v>
      </c>
      <c r="N18" s="87">
        <f>M18-14</f>
        <v>0</v>
      </c>
      <c r="O18" s="87">
        <v>2129</v>
      </c>
      <c r="P18" s="87">
        <v>1982</v>
      </c>
      <c r="Q18" s="88">
        <f>O18/23</f>
        <v>92.565217391304344</v>
      </c>
      <c r="R18" s="87">
        <f>Q18-97</f>
        <v>-4.4347826086956559</v>
      </c>
      <c r="S18" s="43"/>
    </row>
    <row r="19" spans="1:19" ht="15.95" customHeight="1" x14ac:dyDescent="0.25">
      <c r="A19" s="15" t="s">
        <v>12</v>
      </c>
      <c r="B19" s="18" t="s">
        <v>26</v>
      </c>
      <c r="C19" s="87">
        <v>1789</v>
      </c>
      <c r="D19" s="87">
        <v>1789</v>
      </c>
      <c r="E19" s="88">
        <f>C19/9</f>
        <v>198.77777777777777</v>
      </c>
      <c r="F19" s="87">
        <f>E19-219</f>
        <v>-20.222222222222229</v>
      </c>
      <c r="G19" s="87">
        <v>1278</v>
      </c>
      <c r="H19" s="87">
        <v>1278</v>
      </c>
      <c r="I19" s="87">
        <v>1278</v>
      </c>
      <c r="J19" s="87">
        <f>I19-1439</f>
        <v>-161</v>
      </c>
      <c r="K19" s="87" t="s">
        <v>11</v>
      </c>
      <c r="L19" s="87" t="s">
        <v>11</v>
      </c>
      <c r="M19" s="88" t="s">
        <v>11</v>
      </c>
      <c r="N19" s="87" t="s">
        <v>11</v>
      </c>
      <c r="O19" s="87">
        <v>511</v>
      </c>
      <c r="P19" s="87">
        <v>511</v>
      </c>
      <c r="Q19" s="88">
        <f>O19/8</f>
        <v>63.875</v>
      </c>
      <c r="R19" s="87">
        <f>Q19-67</f>
        <v>-3.125</v>
      </c>
      <c r="S19" s="43"/>
    </row>
    <row r="20" spans="1:19" ht="15.95" customHeight="1" x14ac:dyDescent="0.25">
      <c r="A20" s="15" t="s">
        <v>14</v>
      </c>
      <c r="B20" s="18" t="s">
        <v>27</v>
      </c>
      <c r="C20" s="87">
        <v>2084</v>
      </c>
      <c r="D20" s="87">
        <v>1964</v>
      </c>
      <c r="E20" s="88">
        <f>C20/24</f>
        <v>86.833333333333329</v>
      </c>
      <c r="F20" s="87">
        <f>E20-105</f>
        <v>-18.166666666666671</v>
      </c>
      <c r="G20" s="87">
        <v>0</v>
      </c>
      <c r="H20" s="87">
        <v>0</v>
      </c>
      <c r="I20" s="87">
        <v>0</v>
      </c>
      <c r="J20" s="87">
        <f>I20-484</f>
        <v>-484</v>
      </c>
      <c r="K20" s="87" t="s">
        <v>11</v>
      </c>
      <c r="L20" s="87" t="s">
        <v>11</v>
      </c>
      <c r="M20" s="88" t="s">
        <v>11</v>
      </c>
      <c r="N20" s="87" t="s">
        <v>11</v>
      </c>
      <c r="O20" s="87">
        <v>2084</v>
      </c>
      <c r="P20" s="87">
        <v>1964</v>
      </c>
      <c r="Q20" s="88">
        <f>O20/23</f>
        <v>90.608695652173907</v>
      </c>
      <c r="R20" s="87">
        <f>Q20-88</f>
        <v>2.6086956521739069</v>
      </c>
      <c r="S20" s="43"/>
    </row>
    <row r="21" spans="1:19" ht="15.95" customHeight="1" x14ac:dyDescent="0.25">
      <c r="A21" s="15" t="s">
        <v>16</v>
      </c>
      <c r="B21" s="18" t="s">
        <v>28</v>
      </c>
      <c r="C21" s="87">
        <v>8010</v>
      </c>
      <c r="D21" s="87">
        <v>7921</v>
      </c>
      <c r="E21" s="88">
        <f>C21/29</f>
        <v>276.20689655172413</v>
      </c>
      <c r="F21" s="87">
        <f>E21-398</f>
        <v>-121.79310344827587</v>
      </c>
      <c r="G21" s="87">
        <v>607</v>
      </c>
      <c r="H21" s="87">
        <v>605</v>
      </c>
      <c r="I21" s="87">
        <v>607</v>
      </c>
      <c r="J21" s="87">
        <f>I21-3542</f>
        <v>-2935</v>
      </c>
      <c r="K21" s="87">
        <v>1116</v>
      </c>
      <c r="L21" s="87">
        <v>1116</v>
      </c>
      <c r="M21" s="88">
        <f>K21/2</f>
        <v>558</v>
      </c>
      <c r="N21" s="87">
        <f>M21-935</f>
        <v>-377</v>
      </c>
      <c r="O21" s="87">
        <v>6287</v>
      </c>
      <c r="P21" s="87">
        <v>6200</v>
      </c>
      <c r="Q21" s="88">
        <f>O21/24</f>
        <v>261.95833333333331</v>
      </c>
      <c r="R21" s="87">
        <f>Q21-256</f>
        <v>5.9583333333333144</v>
      </c>
      <c r="S21" s="43"/>
    </row>
    <row r="22" spans="1:19" ht="15.95" customHeight="1" x14ac:dyDescent="0.25">
      <c r="A22" s="158" t="s">
        <v>30</v>
      </c>
      <c r="B22" s="158"/>
      <c r="C22" s="21">
        <f t="shared" ref="C22:R22" si="2">SUM(C18:C21)</f>
        <v>16372</v>
      </c>
      <c r="D22" s="21">
        <f t="shared" si="2"/>
        <v>15544</v>
      </c>
      <c r="E22" s="21">
        <f t="shared" si="2"/>
        <v>741.37800766283522</v>
      </c>
      <c r="F22" s="21">
        <f t="shared" si="2"/>
        <v>-195.62199233716478</v>
      </c>
      <c r="G22" s="21">
        <f t="shared" si="2"/>
        <v>4224</v>
      </c>
      <c r="H22" s="21">
        <f t="shared" si="2"/>
        <v>3750</v>
      </c>
      <c r="I22" s="21">
        <f t="shared" si="2"/>
        <v>4224</v>
      </c>
      <c r="J22" s="21">
        <f t="shared" si="2"/>
        <v>-4373</v>
      </c>
      <c r="K22" s="21">
        <f t="shared" si="2"/>
        <v>1137</v>
      </c>
      <c r="L22" s="21">
        <f t="shared" si="2"/>
        <v>1137</v>
      </c>
      <c r="M22" s="21">
        <f t="shared" si="2"/>
        <v>572</v>
      </c>
      <c r="N22" s="21">
        <f t="shared" si="2"/>
        <v>-377</v>
      </c>
      <c r="O22" s="21">
        <f t="shared" si="2"/>
        <v>11011</v>
      </c>
      <c r="P22" s="21">
        <f t="shared" si="2"/>
        <v>10657</v>
      </c>
      <c r="Q22" s="21">
        <f t="shared" si="2"/>
        <v>509.00724637681157</v>
      </c>
      <c r="R22" s="21">
        <f t="shared" si="2"/>
        <v>1.0072463768115654</v>
      </c>
    </row>
    <row r="23" spans="1:19" ht="15.95" customHeight="1" x14ac:dyDescent="0.25">
      <c r="A23" s="158" t="s">
        <v>32</v>
      </c>
      <c r="B23" s="158"/>
      <c r="C23" s="21">
        <f t="shared" ref="C23:J23" si="3">C22/4</f>
        <v>4093</v>
      </c>
      <c r="D23" s="21">
        <f t="shared" si="3"/>
        <v>3886</v>
      </c>
      <c r="E23" s="21">
        <f t="shared" si="3"/>
        <v>185.3445019157088</v>
      </c>
      <c r="F23" s="21">
        <f t="shared" si="3"/>
        <v>-48.905498084291196</v>
      </c>
      <c r="G23" s="21">
        <f t="shared" si="3"/>
        <v>1056</v>
      </c>
      <c r="H23" s="21">
        <f t="shared" si="3"/>
        <v>937.5</v>
      </c>
      <c r="I23" s="21">
        <f t="shared" si="3"/>
        <v>1056</v>
      </c>
      <c r="J23" s="21">
        <f t="shared" si="3"/>
        <v>-1093.25</v>
      </c>
      <c r="K23" s="21">
        <f>K22/2</f>
        <v>568.5</v>
      </c>
      <c r="L23" s="21">
        <f>L22/2</f>
        <v>568.5</v>
      </c>
      <c r="M23" s="21">
        <f>M22/2</f>
        <v>286</v>
      </c>
      <c r="N23" s="21">
        <f>N22/2</f>
        <v>-188.5</v>
      </c>
      <c r="O23" s="21">
        <f>O22/4</f>
        <v>2752.75</v>
      </c>
      <c r="P23" s="21">
        <f>P22/4</f>
        <v>2664.25</v>
      </c>
      <c r="Q23" s="21">
        <f>Q22/4</f>
        <v>127.25181159420289</v>
      </c>
      <c r="R23" s="21">
        <f>R22/4</f>
        <v>0.25181159420289134</v>
      </c>
    </row>
    <row r="24" spans="1:19" ht="27.75" customHeight="1" x14ac:dyDescent="0.25">
      <c r="A24" s="159" t="s">
        <v>29</v>
      </c>
      <c r="B24" s="159"/>
      <c r="C24" s="51">
        <f t="shared" ref="C24:R24" si="4">SUM(C15,C22)</f>
        <v>135940</v>
      </c>
      <c r="D24" s="51">
        <f t="shared" si="4"/>
        <v>134428</v>
      </c>
      <c r="E24" s="51">
        <f t="shared" si="4"/>
        <v>10022.254814189642</v>
      </c>
      <c r="F24" s="51">
        <f t="shared" si="4"/>
        <v>267.25481418964205</v>
      </c>
      <c r="G24" s="51">
        <f t="shared" si="4"/>
        <v>46306</v>
      </c>
      <c r="H24" s="51">
        <f t="shared" si="4"/>
        <v>45628</v>
      </c>
      <c r="I24" s="51">
        <f t="shared" si="4"/>
        <v>46306</v>
      </c>
      <c r="J24" s="51">
        <f t="shared" si="4"/>
        <v>-2963</v>
      </c>
      <c r="K24" s="51">
        <f t="shared" si="4"/>
        <v>57750</v>
      </c>
      <c r="L24" s="51">
        <f t="shared" si="4"/>
        <v>57439</v>
      </c>
      <c r="M24" s="51">
        <f t="shared" si="4"/>
        <v>7185.681818181818</v>
      </c>
      <c r="N24" s="51">
        <f t="shared" si="4"/>
        <v>34.681818181818016</v>
      </c>
      <c r="O24" s="51">
        <f t="shared" si="4"/>
        <v>31884</v>
      </c>
      <c r="P24" s="51">
        <f t="shared" si="4"/>
        <v>31361</v>
      </c>
      <c r="Q24" s="51">
        <f t="shared" si="4"/>
        <v>1621.9695479641132</v>
      </c>
      <c r="R24" s="51">
        <f t="shared" si="4"/>
        <v>101.96954796411316</v>
      </c>
    </row>
    <row r="25" spans="1:19" ht="31.5" customHeight="1" x14ac:dyDescent="0.25">
      <c r="A25" s="159" t="s">
        <v>31</v>
      </c>
      <c r="B25" s="159"/>
      <c r="C25" s="51">
        <f t="shared" ref="C25:J25" si="5">C24/11</f>
        <v>12358.181818181818</v>
      </c>
      <c r="D25" s="51">
        <f t="shared" si="5"/>
        <v>12220.727272727272</v>
      </c>
      <c r="E25" s="51">
        <f t="shared" si="5"/>
        <v>911.11407401724023</v>
      </c>
      <c r="F25" s="51">
        <f t="shared" si="5"/>
        <v>24.295892199058368</v>
      </c>
      <c r="G25" s="51">
        <f t="shared" si="5"/>
        <v>4209.636363636364</v>
      </c>
      <c r="H25" s="51">
        <f t="shared" si="5"/>
        <v>4148</v>
      </c>
      <c r="I25" s="51">
        <f t="shared" si="5"/>
        <v>4209.636363636364</v>
      </c>
      <c r="J25" s="51">
        <f t="shared" si="5"/>
        <v>-269.36363636363637</v>
      </c>
      <c r="K25" s="51">
        <f>K24/7</f>
        <v>8250</v>
      </c>
      <c r="L25" s="51">
        <f>L24/7</f>
        <v>8205.5714285714294</v>
      </c>
      <c r="M25" s="51">
        <f>M24/7</f>
        <v>1026.5259740259739</v>
      </c>
      <c r="N25" s="51">
        <f>N24/7</f>
        <v>4.954545454545431</v>
      </c>
      <c r="O25" s="51">
        <f>O24/8</f>
        <v>3985.5</v>
      </c>
      <c r="P25" s="51">
        <f>P24/8</f>
        <v>3920.125</v>
      </c>
      <c r="Q25" s="51">
        <f>Q24/8</f>
        <v>202.74619349551415</v>
      </c>
      <c r="R25" s="51">
        <f>R24/8</f>
        <v>12.746193495514145</v>
      </c>
    </row>
    <row r="26" spans="1:19" x14ac:dyDescent="0.25">
      <c r="O26" s="76"/>
    </row>
    <row r="27" spans="1:19" x14ac:dyDescent="0.25">
      <c r="O27" s="76"/>
    </row>
    <row r="36" spans="20:20" x14ac:dyDescent="0.25">
      <c r="T36" t="s">
        <v>81</v>
      </c>
    </row>
  </sheetData>
  <mergeCells count="31">
    <mergeCell ref="A24:B24"/>
    <mergeCell ref="B4:B6"/>
    <mergeCell ref="A25:B25"/>
    <mergeCell ref="D5:D6"/>
    <mergeCell ref="H5:H6"/>
    <mergeCell ref="A17:R17"/>
    <mergeCell ref="A22:B22"/>
    <mergeCell ref="A23:B23"/>
    <mergeCell ref="A7:R7"/>
    <mergeCell ref="A15:B15"/>
    <mergeCell ref="A16:B16"/>
    <mergeCell ref="K5:K6"/>
    <mergeCell ref="M5:M6"/>
    <mergeCell ref="O5:O6"/>
    <mergeCell ref="Q5:Q6"/>
    <mergeCell ref="A4:A6"/>
    <mergeCell ref="A2:R2"/>
    <mergeCell ref="K4:N4"/>
    <mergeCell ref="O4:R4"/>
    <mergeCell ref="C5:C6"/>
    <mergeCell ref="E5:E6"/>
    <mergeCell ref="G5:G6"/>
    <mergeCell ref="I5:I6"/>
    <mergeCell ref="C4:F4"/>
    <mergeCell ref="G4:J4"/>
    <mergeCell ref="J5:J6"/>
    <mergeCell ref="F5:F6"/>
    <mergeCell ref="N5:N6"/>
    <mergeCell ref="R5:R6"/>
    <mergeCell ref="L5:L6"/>
    <mergeCell ref="P5:P6"/>
  </mergeCells>
  <pageMargins left="0.7" right="0.7" top="0.75" bottom="0.75" header="0.3" footer="0.3"/>
  <pageSetup paperSize="9" orientation="portrait" r:id="rId1"/>
  <ignoredErrors>
    <ignoredError sqref="Q19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44"/>
  <sheetViews>
    <sheetView workbookViewId="0">
      <selection activeCell="S47" sqref="S47"/>
    </sheetView>
  </sheetViews>
  <sheetFormatPr defaultRowHeight="15" x14ac:dyDescent="0.25"/>
  <cols>
    <col min="1" max="1" width="4" customWidth="1"/>
    <col min="2" max="2" width="28.42578125" customWidth="1"/>
    <col min="3" max="3" width="8.85546875" customWidth="1"/>
    <col min="4" max="4" width="8.140625" customWidth="1"/>
    <col min="5" max="5" width="14.42578125" customWidth="1"/>
    <col min="6" max="6" width="18" customWidth="1"/>
    <col min="7" max="7" width="9" customWidth="1"/>
    <col min="8" max="8" width="8.140625" customWidth="1"/>
    <col min="9" max="9" width="14.42578125" customWidth="1"/>
    <col min="10" max="10" width="18" customWidth="1"/>
    <col min="11" max="11" width="8.85546875" customWidth="1"/>
    <col min="12" max="12" width="8.140625" customWidth="1"/>
    <col min="13" max="13" width="14.5703125" customWidth="1"/>
    <col min="14" max="14" width="18.140625" customWidth="1"/>
    <col min="15" max="15" width="8.85546875" customWidth="1"/>
    <col min="16" max="16" width="8.140625" customWidth="1"/>
    <col min="17" max="17" width="14.42578125" customWidth="1"/>
    <col min="18" max="18" width="18" customWidth="1"/>
  </cols>
  <sheetData>
    <row r="2" spans="1:18" ht="15.75" x14ac:dyDescent="0.25">
      <c r="A2" s="168" t="s">
        <v>102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1" t="s">
        <v>0</v>
      </c>
      <c r="B4" s="111" t="s">
        <v>1</v>
      </c>
      <c r="C4" s="161" t="s">
        <v>47</v>
      </c>
      <c r="D4" s="162"/>
      <c r="E4" s="162"/>
      <c r="F4" s="163"/>
      <c r="G4" s="161" t="s">
        <v>3</v>
      </c>
      <c r="H4" s="162"/>
      <c r="I4" s="162"/>
      <c r="J4" s="163"/>
      <c r="K4" s="161" t="s">
        <v>45</v>
      </c>
      <c r="L4" s="162"/>
      <c r="M4" s="162"/>
      <c r="N4" s="163"/>
      <c r="O4" s="161" t="s">
        <v>46</v>
      </c>
      <c r="P4" s="162"/>
      <c r="Q4" s="162"/>
      <c r="R4" s="163"/>
    </row>
    <row r="5" spans="1:18" ht="15.95" customHeight="1" x14ac:dyDescent="0.25">
      <c r="A5" s="111"/>
      <c r="B5" s="111"/>
      <c r="C5" s="111" t="s">
        <v>76</v>
      </c>
      <c r="D5" s="139" t="s">
        <v>78</v>
      </c>
      <c r="E5" s="139" t="s">
        <v>77</v>
      </c>
      <c r="F5" s="139" t="s">
        <v>104</v>
      </c>
      <c r="G5" s="111" t="s">
        <v>76</v>
      </c>
      <c r="H5" s="139" t="s">
        <v>78</v>
      </c>
      <c r="I5" s="139" t="s">
        <v>77</v>
      </c>
      <c r="J5" s="139" t="s">
        <v>104</v>
      </c>
      <c r="K5" s="111" t="s">
        <v>76</v>
      </c>
      <c r="L5" s="139" t="s">
        <v>78</v>
      </c>
      <c r="M5" s="139" t="s">
        <v>77</v>
      </c>
      <c r="N5" s="139" t="s">
        <v>104</v>
      </c>
      <c r="O5" s="111" t="s">
        <v>76</v>
      </c>
      <c r="P5" s="139" t="s">
        <v>78</v>
      </c>
      <c r="Q5" s="139" t="s">
        <v>77</v>
      </c>
      <c r="R5" s="139" t="s">
        <v>104</v>
      </c>
    </row>
    <row r="6" spans="1:18" ht="45" customHeight="1" x14ac:dyDescent="0.25">
      <c r="A6" s="111"/>
      <c r="B6" s="111"/>
      <c r="C6" s="111"/>
      <c r="D6" s="140"/>
      <c r="E6" s="140"/>
      <c r="F6" s="140"/>
      <c r="G6" s="111"/>
      <c r="H6" s="140"/>
      <c r="I6" s="140"/>
      <c r="J6" s="140"/>
      <c r="K6" s="111"/>
      <c r="L6" s="140"/>
      <c r="M6" s="140"/>
      <c r="N6" s="140"/>
      <c r="O6" s="111"/>
      <c r="P6" s="140"/>
      <c r="Q6" s="140"/>
      <c r="R6" s="140"/>
    </row>
    <row r="7" spans="1:18" ht="15.95" customHeight="1" x14ac:dyDescent="0.25">
      <c r="A7" s="134" t="s">
        <v>7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6"/>
      <c r="R7" s="44"/>
    </row>
    <row r="8" spans="1:18" ht="15.95" customHeight="1" x14ac:dyDescent="0.25">
      <c r="A8" s="15" t="s">
        <v>8</v>
      </c>
      <c r="B8" s="18" t="s">
        <v>9</v>
      </c>
      <c r="C8" s="45">
        <v>1423</v>
      </c>
      <c r="D8" s="85">
        <v>279</v>
      </c>
      <c r="E8" s="45">
        <f>C8/12</f>
        <v>118.58333333333333</v>
      </c>
      <c r="F8" s="45">
        <f>E8-94</f>
        <v>24.583333333333329</v>
      </c>
      <c r="G8" s="45">
        <v>631</v>
      </c>
      <c r="H8" s="45">
        <v>83</v>
      </c>
      <c r="I8" s="87">
        <v>631</v>
      </c>
      <c r="J8" s="87">
        <f>I8-508</f>
        <v>123</v>
      </c>
      <c r="K8" s="45">
        <f>757+35</f>
        <v>792</v>
      </c>
      <c r="L8" s="45">
        <f>172+24</f>
        <v>196</v>
      </c>
      <c r="M8" s="45">
        <f>K8/11</f>
        <v>72</v>
      </c>
      <c r="N8" s="87">
        <f>M8-56</f>
        <v>16</v>
      </c>
      <c r="O8" s="45" t="s">
        <v>11</v>
      </c>
      <c r="P8" s="45" t="s">
        <v>11</v>
      </c>
      <c r="Q8" s="45" t="s">
        <v>11</v>
      </c>
      <c r="R8" s="87" t="s">
        <v>11</v>
      </c>
    </row>
    <row r="9" spans="1:18" ht="15.95" customHeight="1" x14ac:dyDescent="0.25">
      <c r="A9" s="15" t="s">
        <v>12</v>
      </c>
      <c r="B9" s="18" t="s">
        <v>13</v>
      </c>
      <c r="C9" s="45">
        <v>1063</v>
      </c>
      <c r="D9" s="85">
        <v>425</v>
      </c>
      <c r="E9" s="20">
        <f>C9/26</f>
        <v>40.884615384615387</v>
      </c>
      <c r="F9" s="45">
        <f>E9-44.3</f>
        <v>-3.4153846153846104</v>
      </c>
      <c r="G9" s="45">
        <v>195</v>
      </c>
      <c r="H9" s="45">
        <v>134</v>
      </c>
      <c r="I9" s="87">
        <v>195</v>
      </c>
      <c r="J9" s="87">
        <f>I9-168</f>
        <v>27</v>
      </c>
      <c r="K9" s="45">
        <v>66</v>
      </c>
      <c r="L9" s="45">
        <v>36</v>
      </c>
      <c r="M9" s="45">
        <f>K9/1</f>
        <v>66</v>
      </c>
      <c r="N9" s="87">
        <f>M9-68</f>
        <v>-2</v>
      </c>
      <c r="O9" s="45">
        <v>802</v>
      </c>
      <c r="P9" s="45">
        <v>255</v>
      </c>
      <c r="Q9" s="45">
        <f>O9/24</f>
        <v>33.416666666666664</v>
      </c>
      <c r="R9" s="87">
        <f>Q9-38</f>
        <v>-4.5833333333333357</v>
      </c>
    </row>
    <row r="10" spans="1:18" ht="15.95" customHeight="1" x14ac:dyDescent="0.25">
      <c r="A10" s="15" t="s">
        <v>14</v>
      </c>
      <c r="B10" s="18" t="s">
        <v>15</v>
      </c>
      <c r="C10" s="45">
        <v>1270</v>
      </c>
      <c r="D10" s="85">
        <v>572</v>
      </c>
      <c r="E10" s="45">
        <f>C10/20</f>
        <v>63.5</v>
      </c>
      <c r="F10" s="45">
        <f>E10-66</f>
        <v>-2.5</v>
      </c>
      <c r="G10" s="45">
        <v>371</v>
      </c>
      <c r="H10" s="45">
        <v>81</v>
      </c>
      <c r="I10" s="87">
        <v>371</v>
      </c>
      <c r="J10" s="87">
        <f>I10-447</f>
        <v>-76</v>
      </c>
      <c r="K10" s="45">
        <v>98</v>
      </c>
      <c r="L10" s="45">
        <v>44</v>
      </c>
      <c r="M10" s="45">
        <f>K10/1</f>
        <v>98</v>
      </c>
      <c r="N10" s="87">
        <f>M10-131</f>
        <v>-33</v>
      </c>
      <c r="O10" s="45">
        <v>801</v>
      </c>
      <c r="P10" s="45">
        <v>447</v>
      </c>
      <c r="Q10" s="45">
        <f>O10/18</f>
        <v>44.5</v>
      </c>
      <c r="R10" s="87">
        <f>Q10-41</f>
        <v>3.5</v>
      </c>
    </row>
    <row r="11" spans="1:18" ht="15.95" customHeight="1" x14ac:dyDescent="0.25">
      <c r="A11" s="15" t="s">
        <v>16</v>
      </c>
      <c r="B11" s="18" t="s">
        <v>17</v>
      </c>
      <c r="C11" s="45">
        <v>61</v>
      </c>
      <c r="D11" s="85">
        <v>27</v>
      </c>
      <c r="E11" s="45">
        <f>C11/3</f>
        <v>20.333333333333332</v>
      </c>
      <c r="F11" s="45">
        <f>E11-21</f>
        <v>-0.66666666666666785</v>
      </c>
      <c r="G11" s="45">
        <v>45</v>
      </c>
      <c r="H11" s="45">
        <v>15</v>
      </c>
      <c r="I11" s="87">
        <v>45</v>
      </c>
      <c r="J11" s="87">
        <f>I11-42</f>
        <v>3</v>
      </c>
      <c r="K11" s="45">
        <v>16</v>
      </c>
      <c r="L11" s="45">
        <v>22</v>
      </c>
      <c r="M11" s="45">
        <f>K11/2</f>
        <v>8</v>
      </c>
      <c r="N11" s="87">
        <f>M11-10</f>
        <v>-2</v>
      </c>
      <c r="O11" s="45" t="s">
        <v>11</v>
      </c>
      <c r="P11" s="45" t="s">
        <v>11</v>
      </c>
      <c r="Q11" s="45" t="s">
        <v>11</v>
      </c>
      <c r="R11" s="87" t="s">
        <v>11</v>
      </c>
    </row>
    <row r="12" spans="1:18" ht="15.95" customHeight="1" x14ac:dyDescent="0.25">
      <c r="A12" s="15" t="s">
        <v>18</v>
      </c>
      <c r="B12" s="18" t="s">
        <v>19</v>
      </c>
      <c r="C12" s="45">
        <v>115</v>
      </c>
      <c r="D12" s="86">
        <v>63</v>
      </c>
      <c r="E12" s="45">
        <f>C12/3</f>
        <v>38.333333333333336</v>
      </c>
      <c r="F12" s="45">
        <f>E12-37</f>
        <v>1.3333333333333357</v>
      </c>
      <c r="G12" s="45">
        <v>115</v>
      </c>
      <c r="H12" s="45">
        <v>63</v>
      </c>
      <c r="I12" s="87">
        <v>115</v>
      </c>
      <c r="J12" s="87">
        <f>I12-112</f>
        <v>3</v>
      </c>
      <c r="K12" s="45" t="s">
        <v>11</v>
      </c>
      <c r="L12" s="45" t="s">
        <v>11</v>
      </c>
      <c r="M12" s="45" t="s">
        <v>11</v>
      </c>
      <c r="N12" s="87" t="s">
        <v>11</v>
      </c>
      <c r="O12" s="45" t="s">
        <v>11</v>
      </c>
      <c r="P12" s="45" t="s">
        <v>11</v>
      </c>
      <c r="Q12" s="45" t="s">
        <v>11</v>
      </c>
      <c r="R12" s="87" t="s">
        <v>11</v>
      </c>
    </row>
    <row r="13" spans="1:18" ht="15.95" customHeight="1" x14ac:dyDescent="0.25">
      <c r="A13" s="15" t="s">
        <v>20</v>
      </c>
      <c r="B13" s="18" t="s">
        <v>21</v>
      </c>
      <c r="C13" s="45">
        <v>471</v>
      </c>
      <c r="D13" s="85">
        <v>195</v>
      </c>
      <c r="E13" s="45">
        <f>C13/20</f>
        <v>23.55</v>
      </c>
      <c r="F13" s="45">
        <f>E13-33</f>
        <v>-9.4499999999999993</v>
      </c>
      <c r="G13" s="45">
        <v>178</v>
      </c>
      <c r="H13" s="45">
        <v>47</v>
      </c>
      <c r="I13" s="87">
        <v>178</v>
      </c>
      <c r="J13" s="87">
        <f>I13-211</f>
        <v>-33</v>
      </c>
      <c r="K13" s="45">
        <v>20</v>
      </c>
      <c r="L13" s="45">
        <v>2</v>
      </c>
      <c r="M13" s="45">
        <f>K13/1</f>
        <v>20</v>
      </c>
      <c r="N13" s="87">
        <f>M13-27</f>
        <v>-7</v>
      </c>
      <c r="O13" s="45">
        <v>273</v>
      </c>
      <c r="P13" s="45">
        <v>146</v>
      </c>
      <c r="Q13" s="45">
        <f>O13/13</f>
        <v>21</v>
      </c>
      <c r="R13" s="87">
        <f>Q13-19</f>
        <v>2</v>
      </c>
    </row>
    <row r="14" spans="1:18" ht="15.95" customHeight="1" x14ac:dyDescent="0.25">
      <c r="A14" s="15" t="s">
        <v>22</v>
      </c>
      <c r="B14" s="18" t="s">
        <v>23</v>
      </c>
      <c r="C14" s="45">
        <v>1067</v>
      </c>
      <c r="D14" s="85">
        <v>334</v>
      </c>
      <c r="E14" s="20">
        <f>C14/22</f>
        <v>48.5</v>
      </c>
      <c r="F14" s="45">
        <f>E14-44.2</f>
        <v>4.2999999999999972</v>
      </c>
      <c r="G14" s="45">
        <v>504</v>
      </c>
      <c r="H14" s="45">
        <v>33</v>
      </c>
      <c r="I14" s="87">
        <v>504</v>
      </c>
      <c r="J14" s="87">
        <f>I14-481</f>
        <v>23</v>
      </c>
      <c r="K14" s="45" t="s">
        <v>11</v>
      </c>
      <c r="L14" s="45" t="s">
        <v>11</v>
      </c>
      <c r="M14" s="45" t="s">
        <v>11</v>
      </c>
      <c r="N14" s="87" t="s">
        <v>11</v>
      </c>
      <c r="O14" s="45">
        <v>563</v>
      </c>
      <c r="P14" s="45">
        <v>301</v>
      </c>
      <c r="Q14" s="45">
        <f>O14/21</f>
        <v>26.80952380952381</v>
      </c>
      <c r="R14" s="87">
        <f>Q14-23</f>
        <v>3.8095238095238102</v>
      </c>
    </row>
    <row r="15" spans="1:18" ht="15.95" customHeight="1" x14ac:dyDescent="0.25">
      <c r="A15" s="158" t="s">
        <v>30</v>
      </c>
      <c r="B15" s="158"/>
      <c r="C15" s="21">
        <f t="shared" ref="C15:R15" si="0">SUM(C8:C14)</f>
        <v>5470</v>
      </c>
      <c r="D15" s="21">
        <f t="shared" si="0"/>
        <v>1895</v>
      </c>
      <c r="E15" s="21">
        <f t="shared" si="0"/>
        <v>353.68461538461543</v>
      </c>
      <c r="F15" s="21">
        <f t="shared" si="0"/>
        <v>14.184615384615384</v>
      </c>
      <c r="G15" s="21">
        <f t="shared" si="0"/>
        <v>2039</v>
      </c>
      <c r="H15" s="21">
        <f t="shared" si="0"/>
        <v>456</v>
      </c>
      <c r="I15" s="21">
        <f t="shared" si="0"/>
        <v>2039</v>
      </c>
      <c r="J15" s="21">
        <f t="shared" si="0"/>
        <v>70</v>
      </c>
      <c r="K15" s="21">
        <f t="shared" si="0"/>
        <v>992</v>
      </c>
      <c r="L15" s="21">
        <f t="shared" si="0"/>
        <v>300</v>
      </c>
      <c r="M15" s="21">
        <f t="shared" si="0"/>
        <v>264</v>
      </c>
      <c r="N15" s="21">
        <f t="shared" si="0"/>
        <v>-28</v>
      </c>
      <c r="O15" s="21">
        <f t="shared" si="0"/>
        <v>2439</v>
      </c>
      <c r="P15" s="21">
        <f t="shared" si="0"/>
        <v>1149</v>
      </c>
      <c r="Q15" s="21">
        <f t="shared" si="0"/>
        <v>125.72619047619047</v>
      </c>
      <c r="R15" s="21">
        <f t="shared" si="0"/>
        <v>4.7261904761904745</v>
      </c>
    </row>
    <row r="16" spans="1:18" ht="15.95" customHeight="1" x14ac:dyDescent="0.25">
      <c r="A16" s="158" t="s">
        <v>32</v>
      </c>
      <c r="B16" s="158"/>
      <c r="C16" s="21">
        <f t="shared" ref="C16:J16" si="1">C15/7</f>
        <v>781.42857142857144</v>
      </c>
      <c r="D16" s="21">
        <f t="shared" si="1"/>
        <v>270.71428571428572</v>
      </c>
      <c r="E16" s="21">
        <f t="shared" si="1"/>
        <v>50.526373626373633</v>
      </c>
      <c r="F16" s="21">
        <f t="shared" si="1"/>
        <v>2.0263736263736263</v>
      </c>
      <c r="G16" s="21">
        <f t="shared" si="1"/>
        <v>291.28571428571428</v>
      </c>
      <c r="H16" s="21">
        <f t="shared" si="1"/>
        <v>65.142857142857139</v>
      </c>
      <c r="I16" s="21">
        <f t="shared" si="1"/>
        <v>291.28571428571428</v>
      </c>
      <c r="J16" s="21">
        <f t="shared" si="1"/>
        <v>10</v>
      </c>
      <c r="K16" s="21">
        <f>K15/5</f>
        <v>198.4</v>
      </c>
      <c r="L16" s="21">
        <f>L15/5</f>
        <v>60</v>
      </c>
      <c r="M16" s="21">
        <f>M15/5</f>
        <v>52.8</v>
      </c>
      <c r="N16" s="21">
        <f>N15/5</f>
        <v>-5.6</v>
      </c>
      <c r="O16" s="21">
        <f>O15/4</f>
        <v>609.75</v>
      </c>
      <c r="P16" s="21">
        <f>P15/4</f>
        <v>287.25</v>
      </c>
      <c r="Q16" s="21">
        <f>Q15/4</f>
        <v>31.431547619047617</v>
      </c>
      <c r="R16" s="21">
        <f>R15/4</f>
        <v>1.1815476190476186</v>
      </c>
    </row>
    <row r="17" spans="1:18" ht="15.95" customHeight="1" x14ac:dyDescent="0.25">
      <c r="A17" s="134" t="s">
        <v>24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6"/>
      <c r="R17" s="44"/>
    </row>
    <row r="18" spans="1:18" ht="15.95" customHeight="1" x14ac:dyDescent="0.25">
      <c r="A18" s="15" t="s">
        <v>8</v>
      </c>
      <c r="B18" s="18" t="s">
        <v>25</v>
      </c>
      <c r="C18" s="45">
        <v>1094</v>
      </c>
      <c r="D18" s="85">
        <v>513</v>
      </c>
      <c r="E18" s="45">
        <f>C18/25</f>
        <v>43.76</v>
      </c>
      <c r="F18" s="45">
        <f>E18-47</f>
        <v>-3.240000000000002</v>
      </c>
      <c r="G18" s="45">
        <v>153</v>
      </c>
      <c r="H18" s="45">
        <v>66</v>
      </c>
      <c r="I18" s="87">
        <v>153</v>
      </c>
      <c r="J18" s="87">
        <f>I18-248</f>
        <v>-95</v>
      </c>
      <c r="K18" s="45">
        <v>32</v>
      </c>
      <c r="L18" s="45">
        <v>23</v>
      </c>
      <c r="M18" s="45">
        <f>K18/1</f>
        <v>32</v>
      </c>
      <c r="N18" s="87">
        <f>M18-32</f>
        <v>0</v>
      </c>
      <c r="O18" s="45">
        <v>909</v>
      </c>
      <c r="P18" s="45">
        <v>424</v>
      </c>
      <c r="Q18" s="45">
        <f>O18/23</f>
        <v>39.521739130434781</v>
      </c>
      <c r="R18" s="87">
        <f>Q18-39</f>
        <v>0.52173913043478137</v>
      </c>
    </row>
    <row r="19" spans="1:18" ht="15.95" customHeight="1" x14ac:dyDescent="0.25">
      <c r="A19" s="15" t="s">
        <v>12</v>
      </c>
      <c r="B19" s="18" t="s">
        <v>26</v>
      </c>
      <c r="C19" s="45">
        <v>406</v>
      </c>
      <c r="D19" s="85">
        <v>61</v>
      </c>
      <c r="E19" s="20">
        <f>C19/9</f>
        <v>45.111111111111114</v>
      </c>
      <c r="F19" s="45">
        <f>E19-29.4</f>
        <v>15.711111111111116</v>
      </c>
      <c r="G19" s="45">
        <v>111</v>
      </c>
      <c r="H19" s="45">
        <v>28</v>
      </c>
      <c r="I19" s="87">
        <v>111</v>
      </c>
      <c r="J19" s="87">
        <f>I19-65</f>
        <v>46</v>
      </c>
      <c r="K19" s="45" t="s">
        <v>11</v>
      </c>
      <c r="L19" s="45" t="s">
        <v>11</v>
      </c>
      <c r="M19" s="45" t="s">
        <v>11</v>
      </c>
      <c r="N19" s="87" t="s">
        <v>11</v>
      </c>
      <c r="O19" s="45">
        <v>295</v>
      </c>
      <c r="P19" s="45">
        <v>33</v>
      </c>
      <c r="Q19" s="45">
        <f>O19/8</f>
        <v>36.875</v>
      </c>
      <c r="R19" s="87">
        <f>Q19-25</f>
        <v>11.875</v>
      </c>
    </row>
    <row r="20" spans="1:18" ht="15.95" customHeight="1" x14ac:dyDescent="0.25">
      <c r="A20" s="15" t="s">
        <v>14</v>
      </c>
      <c r="B20" s="18" t="s">
        <v>27</v>
      </c>
      <c r="C20" s="45">
        <v>587</v>
      </c>
      <c r="D20" s="85">
        <v>360</v>
      </c>
      <c r="E20" s="45">
        <f>C20/24</f>
        <v>24.458333333333332</v>
      </c>
      <c r="F20" s="45">
        <f>E20-23</f>
        <v>1.4583333333333321</v>
      </c>
      <c r="G20" s="45">
        <v>100</v>
      </c>
      <c r="H20" s="45">
        <v>42</v>
      </c>
      <c r="I20" s="87">
        <v>100</v>
      </c>
      <c r="J20" s="87">
        <f>I20-118</f>
        <v>-18</v>
      </c>
      <c r="K20" s="45" t="s">
        <v>11</v>
      </c>
      <c r="L20" s="45" t="s">
        <v>11</v>
      </c>
      <c r="M20" s="45" t="s">
        <v>11</v>
      </c>
      <c r="N20" s="87" t="s">
        <v>11</v>
      </c>
      <c r="O20" s="45">
        <v>487</v>
      </c>
      <c r="P20" s="45">
        <v>318</v>
      </c>
      <c r="Q20" s="45">
        <f>O20/23</f>
        <v>21.173913043478262</v>
      </c>
      <c r="R20" s="87">
        <f>Q20-19</f>
        <v>2.1739130434782616</v>
      </c>
    </row>
    <row r="21" spans="1:18" ht="15.95" customHeight="1" x14ac:dyDescent="0.25">
      <c r="A21" s="15" t="s">
        <v>16</v>
      </c>
      <c r="B21" s="18" t="s">
        <v>28</v>
      </c>
      <c r="C21" s="45">
        <v>947</v>
      </c>
      <c r="D21" s="85">
        <v>392</v>
      </c>
      <c r="E21" s="20">
        <f>C21/29</f>
        <v>32.655172413793103</v>
      </c>
      <c r="F21" s="45">
        <f>E21-29.3</f>
        <v>3.3551724137931025</v>
      </c>
      <c r="G21" s="45">
        <v>223</v>
      </c>
      <c r="H21" s="45">
        <v>53</v>
      </c>
      <c r="I21" s="87">
        <v>223</v>
      </c>
      <c r="J21" s="87">
        <f>I21-204</f>
        <v>19</v>
      </c>
      <c r="K21" s="45">
        <v>114</v>
      </c>
      <c r="L21" s="45">
        <v>58</v>
      </c>
      <c r="M21" s="45">
        <f>K21/2</f>
        <v>57</v>
      </c>
      <c r="N21" s="87">
        <f>M21-53</f>
        <v>4</v>
      </c>
      <c r="O21" s="45">
        <v>610</v>
      </c>
      <c r="P21" s="45">
        <v>281</v>
      </c>
      <c r="Q21" s="45">
        <f>O21/24</f>
        <v>25.416666666666668</v>
      </c>
      <c r="R21" s="87">
        <f>Q21-22</f>
        <v>3.4166666666666679</v>
      </c>
    </row>
    <row r="22" spans="1:18" ht="15.95" customHeight="1" x14ac:dyDescent="0.25">
      <c r="A22" s="158" t="s">
        <v>30</v>
      </c>
      <c r="B22" s="158"/>
      <c r="C22" s="21">
        <f t="shared" ref="C22:R22" si="2">SUM(C18:C21)</f>
        <v>3034</v>
      </c>
      <c r="D22" s="21">
        <f t="shared" si="2"/>
        <v>1326</v>
      </c>
      <c r="E22" s="21">
        <f t="shared" si="2"/>
        <v>145.98461685823753</v>
      </c>
      <c r="F22" s="21">
        <f t="shared" si="2"/>
        <v>17.284616858237548</v>
      </c>
      <c r="G22" s="21">
        <f t="shared" si="2"/>
        <v>587</v>
      </c>
      <c r="H22" s="21">
        <f t="shared" si="2"/>
        <v>189</v>
      </c>
      <c r="I22" s="21">
        <f t="shared" si="2"/>
        <v>587</v>
      </c>
      <c r="J22" s="21">
        <f t="shared" si="2"/>
        <v>-48</v>
      </c>
      <c r="K22" s="21">
        <f t="shared" si="2"/>
        <v>146</v>
      </c>
      <c r="L22" s="21">
        <f t="shared" si="2"/>
        <v>81</v>
      </c>
      <c r="M22" s="21">
        <f t="shared" si="2"/>
        <v>89</v>
      </c>
      <c r="N22" s="21">
        <f t="shared" si="2"/>
        <v>4</v>
      </c>
      <c r="O22" s="21">
        <f t="shared" si="2"/>
        <v>2301</v>
      </c>
      <c r="P22" s="21">
        <f t="shared" si="2"/>
        <v>1056</v>
      </c>
      <c r="Q22" s="21">
        <f t="shared" si="2"/>
        <v>122.98731884057972</v>
      </c>
      <c r="R22" s="21">
        <f t="shared" si="2"/>
        <v>17.987318840579711</v>
      </c>
    </row>
    <row r="23" spans="1:18" ht="15.95" customHeight="1" x14ac:dyDescent="0.25">
      <c r="A23" s="158" t="s">
        <v>32</v>
      </c>
      <c r="B23" s="158"/>
      <c r="C23" s="21">
        <f t="shared" ref="C23:J23" si="3">C22/4</f>
        <v>758.5</v>
      </c>
      <c r="D23" s="21">
        <f t="shared" si="3"/>
        <v>331.5</v>
      </c>
      <c r="E23" s="21">
        <f t="shared" si="3"/>
        <v>36.496154214559382</v>
      </c>
      <c r="F23" s="21">
        <f t="shared" si="3"/>
        <v>4.3211542145593871</v>
      </c>
      <c r="G23" s="21">
        <f t="shared" si="3"/>
        <v>146.75</v>
      </c>
      <c r="H23" s="21">
        <f t="shared" si="3"/>
        <v>47.25</v>
      </c>
      <c r="I23" s="21">
        <f t="shared" si="3"/>
        <v>146.75</v>
      </c>
      <c r="J23" s="21">
        <f t="shared" si="3"/>
        <v>-12</v>
      </c>
      <c r="K23" s="21">
        <f>K22/2</f>
        <v>73</v>
      </c>
      <c r="L23" s="21">
        <f>L22/2</f>
        <v>40.5</v>
      </c>
      <c r="M23" s="21">
        <f>M22/2</f>
        <v>44.5</v>
      </c>
      <c r="N23" s="21">
        <f>N22/2</f>
        <v>2</v>
      </c>
      <c r="O23" s="21">
        <f>O22/4</f>
        <v>575.25</v>
      </c>
      <c r="P23" s="21">
        <f>P22/4</f>
        <v>264</v>
      </c>
      <c r="Q23" s="21">
        <f>Q22/4</f>
        <v>30.746829710144929</v>
      </c>
      <c r="R23" s="21">
        <f>R22/4</f>
        <v>4.4968297101449277</v>
      </c>
    </row>
    <row r="24" spans="1:18" ht="30" customHeight="1" x14ac:dyDescent="0.25">
      <c r="A24" s="159" t="s">
        <v>29</v>
      </c>
      <c r="B24" s="159"/>
      <c r="C24" s="51">
        <f t="shared" ref="C24:R24" si="4">SUM(C15,C22)</f>
        <v>8504</v>
      </c>
      <c r="D24" s="51">
        <f t="shared" si="4"/>
        <v>3221</v>
      </c>
      <c r="E24" s="51">
        <f t="shared" si="4"/>
        <v>499.66923224285296</v>
      </c>
      <c r="F24" s="51">
        <f t="shared" si="4"/>
        <v>31.469232242852932</v>
      </c>
      <c r="G24" s="51">
        <f t="shared" si="4"/>
        <v>2626</v>
      </c>
      <c r="H24" s="51">
        <f t="shared" si="4"/>
        <v>645</v>
      </c>
      <c r="I24" s="51">
        <f t="shared" si="4"/>
        <v>2626</v>
      </c>
      <c r="J24" s="51">
        <f t="shared" si="4"/>
        <v>22</v>
      </c>
      <c r="K24" s="51">
        <f t="shared" si="4"/>
        <v>1138</v>
      </c>
      <c r="L24" s="51">
        <f t="shared" si="4"/>
        <v>381</v>
      </c>
      <c r="M24" s="51">
        <f t="shared" si="4"/>
        <v>353</v>
      </c>
      <c r="N24" s="51">
        <f t="shared" si="4"/>
        <v>-24</v>
      </c>
      <c r="O24" s="51">
        <f t="shared" si="4"/>
        <v>4740</v>
      </c>
      <c r="P24" s="51">
        <f t="shared" si="4"/>
        <v>2205</v>
      </c>
      <c r="Q24" s="51">
        <f t="shared" si="4"/>
        <v>248.71350931677017</v>
      </c>
      <c r="R24" s="51">
        <f t="shared" si="4"/>
        <v>22.713509316770185</v>
      </c>
    </row>
    <row r="25" spans="1:18" ht="30" customHeight="1" x14ac:dyDescent="0.25">
      <c r="A25" s="159" t="s">
        <v>31</v>
      </c>
      <c r="B25" s="159"/>
      <c r="C25" s="51">
        <f t="shared" ref="C25:J25" si="5">C24/11</f>
        <v>773.09090909090912</v>
      </c>
      <c r="D25" s="51">
        <f t="shared" si="5"/>
        <v>292.81818181818181</v>
      </c>
      <c r="E25" s="51">
        <f t="shared" si="5"/>
        <v>45.424475658441175</v>
      </c>
      <c r="F25" s="51">
        <f t="shared" si="5"/>
        <v>2.860839294804812</v>
      </c>
      <c r="G25" s="51">
        <f t="shared" si="5"/>
        <v>238.72727272727272</v>
      </c>
      <c r="H25" s="51">
        <f t="shared" si="5"/>
        <v>58.636363636363633</v>
      </c>
      <c r="I25" s="51">
        <f t="shared" si="5"/>
        <v>238.72727272727272</v>
      </c>
      <c r="J25" s="51">
        <f t="shared" si="5"/>
        <v>2</v>
      </c>
      <c r="K25" s="51">
        <f>K24/7</f>
        <v>162.57142857142858</v>
      </c>
      <c r="L25" s="51">
        <f>L24/7</f>
        <v>54.428571428571431</v>
      </c>
      <c r="M25" s="51">
        <f>M24/7</f>
        <v>50.428571428571431</v>
      </c>
      <c r="N25" s="51">
        <f>N24/7</f>
        <v>-3.4285714285714284</v>
      </c>
      <c r="O25" s="51">
        <f>O24/8</f>
        <v>592.5</v>
      </c>
      <c r="P25" s="51">
        <f>P24/8</f>
        <v>275.625</v>
      </c>
      <c r="Q25" s="51">
        <f>Q24/8</f>
        <v>31.089188664596271</v>
      </c>
      <c r="R25" s="51">
        <f>R24/8</f>
        <v>2.8391886645962732</v>
      </c>
    </row>
    <row r="44" spans="7:7" x14ac:dyDescent="0.25">
      <c r="G44" s="84"/>
    </row>
  </sheetData>
  <mergeCells count="31">
    <mergeCell ref="C4:F4"/>
    <mergeCell ref="G4:J4"/>
    <mergeCell ref="K4:N4"/>
    <mergeCell ref="O4:R4"/>
    <mergeCell ref="J5:J6"/>
    <mergeCell ref="N5:N6"/>
    <mergeCell ref="R5:R6"/>
    <mergeCell ref="A2:R2"/>
    <mergeCell ref="D5:D6"/>
    <mergeCell ref="H5:H6"/>
    <mergeCell ref="L5:L6"/>
    <mergeCell ref="P5:P6"/>
    <mergeCell ref="M5:M6"/>
    <mergeCell ref="O5:O6"/>
    <mergeCell ref="Q5:Q6"/>
    <mergeCell ref="G5:G6"/>
    <mergeCell ref="I5:I6"/>
    <mergeCell ref="K5:K6"/>
    <mergeCell ref="A4:A6"/>
    <mergeCell ref="B4:B6"/>
    <mergeCell ref="C5:C6"/>
    <mergeCell ref="E5:E6"/>
    <mergeCell ref="F5:F6"/>
    <mergeCell ref="A24:B24"/>
    <mergeCell ref="A25:B25"/>
    <mergeCell ref="A7:Q7"/>
    <mergeCell ref="A15:B15"/>
    <mergeCell ref="A16:B16"/>
    <mergeCell ref="A17:Q17"/>
    <mergeCell ref="A22:B22"/>
    <mergeCell ref="A23:B23"/>
  </mergeCells>
  <pageMargins left="0.7" right="0.7" top="0.75" bottom="0.75" header="0.3" footer="0.3"/>
  <pageSetup paperSize="9" orientation="portrait" r:id="rId1"/>
  <ignoredErrors>
    <ignoredError sqref="Q19 F11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4"/>
  <sheetViews>
    <sheetView workbookViewId="0">
      <selection activeCell="U9" sqref="U9"/>
    </sheetView>
  </sheetViews>
  <sheetFormatPr defaultRowHeight="15" x14ac:dyDescent="0.25"/>
  <cols>
    <col min="1" max="1" width="5.7109375" customWidth="1"/>
    <col min="2" max="2" width="27.140625" customWidth="1"/>
    <col min="3" max="3" width="12.140625" customWidth="1"/>
    <col min="4" max="4" width="8" customWidth="1"/>
    <col min="5" max="5" width="9" customWidth="1"/>
    <col min="6" max="6" width="8.42578125" customWidth="1"/>
    <col min="7" max="7" width="12.42578125" customWidth="1"/>
    <col min="8" max="8" width="8.7109375" customWidth="1"/>
    <col min="9" max="9" width="7.28515625" customWidth="1"/>
    <col min="10" max="10" width="8.28515625" customWidth="1"/>
    <col min="11" max="11" width="12.140625" customWidth="1"/>
    <col min="12" max="12" width="10.5703125" customWidth="1"/>
    <col min="13" max="13" width="7.5703125" customWidth="1"/>
    <col min="14" max="14" width="7.28515625" customWidth="1"/>
    <col min="15" max="15" width="12" customWidth="1"/>
    <col min="16" max="16" width="9.140625" customWidth="1"/>
    <col min="17" max="17" width="7.85546875" customWidth="1"/>
    <col min="18" max="18" width="7.7109375" customWidth="1"/>
  </cols>
  <sheetData>
    <row r="2" spans="1:18" ht="15.75" x14ac:dyDescent="0.25">
      <c r="A2" s="137" t="s">
        <v>103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1" t="s">
        <v>0</v>
      </c>
      <c r="B4" s="111" t="s">
        <v>1</v>
      </c>
      <c r="C4" s="124" t="s">
        <v>62</v>
      </c>
      <c r="D4" s="138"/>
      <c r="E4" s="138"/>
      <c r="F4" s="125"/>
      <c r="G4" s="124" t="s">
        <v>65</v>
      </c>
      <c r="H4" s="138"/>
      <c r="I4" s="138"/>
      <c r="J4" s="125"/>
      <c r="K4" s="124" t="s">
        <v>63</v>
      </c>
      <c r="L4" s="138"/>
      <c r="M4" s="138"/>
      <c r="N4" s="125"/>
      <c r="O4" s="124" t="s">
        <v>64</v>
      </c>
      <c r="P4" s="138"/>
      <c r="Q4" s="138"/>
      <c r="R4" s="125"/>
    </row>
    <row r="5" spans="1:18" ht="31.5" customHeight="1" x14ac:dyDescent="0.25">
      <c r="A5" s="111"/>
      <c r="B5" s="111"/>
      <c r="C5" s="22" t="s">
        <v>47</v>
      </c>
      <c r="D5" s="22" t="s">
        <v>3</v>
      </c>
      <c r="E5" s="22" t="s">
        <v>45</v>
      </c>
      <c r="F5" s="22" t="s">
        <v>46</v>
      </c>
      <c r="G5" s="22" t="s">
        <v>47</v>
      </c>
      <c r="H5" s="22" t="s">
        <v>3</v>
      </c>
      <c r="I5" s="22" t="s">
        <v>45</v>
      </c>
      <c r="J5" s="22" t="s">
        <v>46</v>
      </c>
      <c r="K5" s="22" t="s">
        <v>47</v>
      </c>
      <c r="L5" s="22" t="s">
        <v>3</v>
      </c>
      <c r="M5" s="22" t="s">
        <v>45</v>
      </c>
      <c r="N5" s="22" t="s">
        <v>46</v>
      </c>
      <c r="O5" s="22" t="s">
        <v>47</v>
      </c>
      <c r="P5" s="22" t="s">
        <v>3</v>
      </c>
      <c r="Q5" s="22" t="s">
        <v>45</v>
      </c>
      <c r="R5" s="22" t="s">
        <v>46</v>
      </c>
    </row>
    <row r="6" spans="1:18" ht="15.95" customHeight="1" x14ac:dyDescent="0.25">
      <c r="A6" s="134" t="s">
        <v>7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6"/>
    </row>
    <row r="7" spans="1:18" ht="15.95" customHeight="1" x14ac:dyDescent="0.25">
      <c r="A7" s="15" t="s">
        <v>8</v>
      </c>
      <c r="B7" s="18" t="s">
        <v>9</v>
      </c>
      <c r="C7" s="87">
        <v>39790</v>
      </c>
      <c r="D7" s="87">
        <v>35231</v>
      </c>
      <c r="E7" s="87">
        <f>4416+143</f>
        <v>4559</v>
      </c>
      <c r="F7" s="87" t="s">
        <v>11</v>
      </c>
      <c r="G7" s="89">
        <v>1954</v>
      </c>
      <c r="H7" s="89">
        <v>1954</v>
      </c>
      <c r="I7" s="89">
        <v>0</v>
      </c>
      <c r="J7" s="89" t="s">
        <v>11</v>
      </c>
      <c r="K7" s="89">
        <v>0</v>
      </c>
      <c r="L7" s="89">
        <v>0</v>
      </c>
      <c r="M7" s="89">
        <v>0</v>
      </c>
      <c r="N7" s="89" t="s">
        <v>11</v>
      </c>
      <c r="O7" s="89">
        <v>114348</v>
      </c>
      <c r="P7" s="89">
        <v>111472</v>
      </c>
      <c r="Q7" s="89">
        <v>2876</v>
      </c>
      <c r="R7" s="89" t="s">
        <v>11</v>
      </c>
    </row>
    <row r="8" spans="1:18" ht="15.95" customHeight="1" x14ac:dyDescent="0.25">
      <c r="A8" s="15" t="s">
        <v>12</v>
      </c>
      <c r="B8" s="18" t="s">
        <v>13</v>
      </c>
      <c r="C8" s="87">
        <v>4854</v>
      </c>
      <c r="D8" s="87">
        <v>729</v>
      </c>
      <c r="E8" s="87">
        <v>461</v>
      </c>
      <c r="F8" s="87">
        <v>3664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16710</v>
      </c>
      <c r="P8" s="89">
        <v>4510</v>
      </c>
      <c r="Q8" s="89">
        <v>552</v>
      </c>
      <c r="R8" s="89">
        <v>11648</v>
      </c>
    </row>
    <row r="9" spans="1:18" ht="15.95" customHeight="1" x14ac:dyDescent="0.25">
      <c r="A9" s="15" t="s">
        <v>14</v>
      </c>
      <c r="B9" s="18" t="s">
        <v>15</v>
      </c>
      <c r="C9" s="87">
        <v>88443</v>
      </c>
      <c r="D9" s="87">
        <v>83737</v>
      </c>
      <c r="E9" s="87">
        <v>450</v>
      </c>
      <c r="F9" s="87">
        <v>4256</v>
      </c>
      <c r="G9" s="89">
        <v>17398</v>
      </c>
      <c r="H9" s="89">
        <v>17398</v>
      </c>
      <c r="I9" s="89">
        <v>0</v>
      </c>
      <c r="J9" s="89">
        <v>0</v>
      </c>
      <c r="K9" s="89">
        <v>13430</v>
      </c>
      <c r="L9" s="89">
        <v>13430</v>
      </c>
      <c r="M9" s="89">
        <v>0</v>
      </c>
      <c r="N9" s="89">
        <v>0</v>
      </c>
      <c r="O9" s="89">
        <v>95027</v>
      </c>
      <c r="P9" s="89">
        <v>89132</v>
      </c>
      <c r="Q9" s="89">
        <v>926</v>
      </c>
      <c r="R9" s="89">
        <v>4969</v>
      </c>
    </row>
    <row r="10" spans="1:18" ht="15.95" customHeight="1" x14ac:dyDescent="0.25">
      <c r="A10" s="15" t="s">
        <v>16</v>
      </c>
      <c r="B10" s="18" t="s">
        <v>17</v>
      </c>
      <c r="C10" s="87">
        <v>2450</v>
      </c>
      <c r="D10" s="87">
        <v>2450</v>
      </c>
      <c r="E10" s="87">
        <v>0</v>
      </c>
      <c r="F10" s="87" t="s">
        <v>11</v>
      </c>
      <c r="G10" s="89">
        <v>0</v>
      </c>
      <c r="H10" s="89">
        <v>0</v>
      </c>
      <c r="I10" s="89">
        <v>0</v>
      </c>
      <c r="J10" s="89" t="s">
        <v>11</v>
      </c>
      <c r="K10" s="89">
        <v>0</v>
      </c>
      <c r="L10" s="89">
        <v>0</v>
      </c>
      <c r="M10" s="89">
        <v>0</v>
      </c>
      <c r="N10" s="89" t="s">
        <v>11</v>
      </c>
      <c r="O10" s="89">
        <v>4890</v>
      </c>
      <c r="P10" s="89">
        <v>4890</v>
      </c>
      <c r="Q10" s="89">
        <v>0</v>
      </c>
      <c r="R10" s="89" t="s">
        <v>11</v>
      </c>
    </row>
    <row r="11" spans="1:18" ht="15.95" customHeight="1" x14ac:dyDescent="0.25">
      <c r="A11" s="15" t="s">
        <v>18</v>
      </c>
      <c r="B11" s="18" t="s">
        <v>19</v>
      </c>
      <c r="C11" s="87">
        <v>25290</v>
      </c>
      <c r="D11" s="87">
        <v>25290</v>
      </c>
      <c r="E11" s="87" t="s">
        <v>11</v>
      </c>
      <c r="F11" s="87" t="s">
        <v>11</v>
      </c>
      <c r="G11" s="89">
        <v>266</v>
      </c>
      <c r="H11" s="89">
        <v>266</v>
      </c>
      <c r="I11" s="89" t="s">
        <v>11</v>
      </c>
      <c r="J11" s="89" t="s">
        <v>11</v>
      </c>
      <c r="K11" s="89">
        <v>2366</v>
      </c>
      <c r="L11" s="89">
        <v>2366</v>
      </c>
      <c r="M11" s="89" t="s">
        <v>11</v>
      </c>
      <c r="N11" s="89" t="s">
        <v>11</v>
      </c>
      <c r="O11" s="89">
        <v>12244</v>
      </c>
      <c r="P11" s="89">
        <v>12244</v>
      </c>
      <c r="Q11" s="89" t="s">
        <v>11</v>
      </c>
      <c r="R11" s="89" t="s">
        <v>11</v>
      </c>
    </row>
    <row r="12" spans="1:18" ht="15.95" customHeight="1" x14ac:dyDescent="0.25">
      <c r="A12" s="15" t="s">
        <v>20</v>
      </c>
      <c r="B12" s="18" t="s">
        <v>21</v>
      </c>
      <c r="C12" s="87">
        <v>41116</v>
      </c>
      <c r="D12" s="87">
        <v>10647</v>
      </c>
      <c r="E12" s="87">
        <v>4055</v>
      </c>
      <c r="F12" s="87">
        <v>26414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</row>
    <row r="13" spans="1:18" ht="15.95" customHeight="1" x14ac:dyDescent="0.25">
      <c r="A13" s="15" t="s">
        <v>22</v>
      </c>
      <c r="B13" s="18" t="s">
        <v>23</v>
      </c>
      <c r="C13" s="87">
        <v>51474</v>
      </c>
      <c r="D13" s="87">
        <v>24406</v>
      </c>
      <c r="E13" s="87" t="s">
        <v>11</v>
      </c>
      <c r="F13" s="87">
        <v>27068</v>
      </c>
      <c r="G13" s="89">
        <v>594</v>
      </c>
      <c r="H13" s="89">
        <v>594</v>
      </c>
      <c r="I13" s="89" t="s">
        <v>11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41122</v>
      </c>
      <c r="P13" s="89">
        <v>39086</v>
      </c>
      <c r="Q13" s="89">
        <v>0</v>
      </c>
      <c r="R13" s="89">
        <v>2036</v>
      </c>
    </row>
    <row r="14" spans="1:18" ht="15.95" customHeight="1" x14ac:dyDescent="0.25">
      <c r="A14" s="158" t="s">
        <v>30</v>
      </c>
      <c r="B14" s="158"/>
      <c r="C14" s="21">
        <f t="shared" ref="C14:H14" si="0">SUM(C7:C13)</f>
        <v>253417</v>
      </c>
      <c r="D14" s="21">
        <f t="shared" si="0"/>
        <v>182490</v>
      </c>
      <c r="E14" s="21">
        <f t="shared" si="0"/>
        <v>9525</v>
      </c>
      <c r="F14" s="21">
        <f t="shared" si="0"/>
        <v>61402</v>
      </c>
      <c r="G14" s="54">
        <f t="shared" si="0"/>
        <v>20212</v>
      </c>
      <c r="H14" s="54">
        <f t="shared" si="0"/>
        <v>20212</v>
      </c>
      <c r="I14" s="54">
        <v>0</v>
      </c>
      <c r="J14" s="54">
        <v>0</v>
      </c>
      <c r="K14" s="54">
        <f>SUM(K7:K13)</f>
        <v>15796</v>
      </c>
      <c r="L14" s="54">
        <f>SUM(L7:L13)</f>
        <v>15796</v>
      </c>
      <c r="M14" s="54">
        <v>0</v>
      </c>
      <c r="N14" s="54">
        <v>0</v>
      </c>
      <c r="O14" s="54">
        <f>SUM(O7:O13)</f>
        <v>284341</v>
      </c>
      <c r="P14" s="54">
        <f>SUM(P7:P13)</f>
        <v>261334</v>
      </c>
      <c r="Q14" s="54">
        <f>SUM(Q7:Q13)</f>
        <v>4354</v>
      </c>
      <c r="R14" s="54">
        <f>SUM(R8:R13)</f>
        <v>18653</v>
      </c>
    </row>
    <row r="15" spans="1:18" ht="15.95" customHeight="1" x14ac:dyDescent="0.25">
      <c r="A15" s="158" t="s">
        <v>32</v>
      </c>
      <c r="B15" s="158"/>
      <c r="C15" s="21">
        <f>C14/7</f>
        <v>36202.428571428572</v>
      </c>
      <c r="D15" s="21">
        <f>D14/7</f>
        <v>26070</v>
      </c>
      <c r="E15" s="21">
        <f>E14/5</f>
        <v>1905</v>
      </c>
      <c r="F15" s="21">
        <f>F14/4</f>
        <v>15350.5</v>
      </c>
      <c r="G15" s="21">
        <f>G14/7</f>
        <v>2887.4285714285716</v>
      </c>
      <c r="H15" s="21">
        <f>H14/7</f>
        <v>2887.4285714285716</v>
      </c>
      <c r="I15" s="21">
        <v>0</v>
      </c>
      <c r="J15" s="21">
        <v>0</v>
      </c>
      <c r="K15" s="21">
        <f>K14/7</f>
        <v>2256.5714285714284</v>
      </c>
      <c r="L15" s="21">
        <f>L14/7</f>
        <v>2256.5714285714284</v>
      </c>
      <c r="M15" s="21">
        <v>0</v>
      </c>
      <c r="N15" s="21">
        <v>0</v>
      </c>
      <c r="O15" s="21">
        <f>O14/7</f>
        <v>40620.142857142855</v>
      </c>
      <c r="P15" s="21">
        <f>P14/7</f>
        <v>37333.428571428572</v>
      </c>
      <c r="Q15" s="21">
        <v>0</v>
      </c>
      <c r="R15" s="21">
        <f>R14/4</f>
        <v>4663.25</v>
      </c>
    </row>
    <row r="16" spans="1:18" ht="15.95" customHeight="1" x14ac:dyDescent="0.25">
      <c r="A16" s="134" t="s">
        <v>24</v>
      </c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6"/>
    </row>
    <row r="17" spans="1:18" ht="15.95" customHeight="1" x14ac:dyDescent="0.25">
      <c r="A17" s="15" t="s">
        <v>8</v>
      </c>
      <c r="B17" s="18" t="s">
        <v>25</v>
      </c>
      <c r="C17" s="87">
        <v>6923</v>
      </c>
      <c r="D17" s="87">
        <v>1914</v>
      </c>
      <c r="E17" s="87">
        <v>880</v>
      </c>
      <c r="F17" s="87">
        <v>4129</v>
      </c>
      <c r="G17" s="89">
        <v>710235</v>
      </c>
      <c r="H17" s="89">
        <v>710235</v>
      </c>
      <c r="I17" s="89">
        <v>0</v>
      </c>
      <c r="J17" s="89">
        <v>0</v>
      </c>
      <c r="K17" s="87">
        <v>0</v>
      </c>
      <c r="L17" s="87">
        <v>0</v>
      </c>
      <c r="M17" s="87">
        <v>0</v>
      </c>
      <c r="N17" s="87">
        <v>0</v>
      </c>
      <c r="O17" s="89">
        <v>135674</v>
      </c>
      <c r="P17" s="89">
        <v>131115</v>
      </c>
      <c r="Q17" s="89">
        <v>0</v>
      </c>
      <c r="R17" s="89">
        <v>4559</v>
      </c>
    </row>
    <row r="18" spans="1:18" ht="15.95" customHeight="1" x14ac:dyDescent="0.25">
      <c r="A18" s="15" t="s">
        <v>12</v>
      </c>
      <c r="B18" s="18" t="s">
        <v>26</v>
      </c>
      <c r="C18" s="87">
        <v>3484</v>
      </c>
      <c r="D18" s="87">
        <v>1353</v>
      </c>
      <c r="E18" s="87" t="s">
        <v>11</v>
      </c>
      <c r="F18" s="87">
        <v>2131</v>
      </c>
      <c r="G18" s="89">
        <v>0</v>
      </c>
      <c r="H18" s="89">
        <v>0</v>
      </c>
      <c r="I18" s="89" t="s">
        <v>11</v>
      </c>
      <c r="J18" s="89">
        <v>0</v>
      </c>
      <c r="K18" s="87">
        <v>0</v>
      </c>
      <c r="L18" s="87">
        <v>0</v>
      </c>
      <c r="M18" s="87" t="s">
        <v>11</v>
      </c>
      <c r="N18" s="87">
        <v>0</v>
      </c>
      <c r="O18" s="89">
        <v>13610</v>
      </c>
      <c r="P18" s="89">
        <v>12425</v>
      </c>
      <c r="Q18" s="89" t="s">
        <v>11</v>
      </c>
      <c r="R18" s="89">
        <v>1185</v>
      </c>
    </row>
    <row r="19" spans="1:18" ht="15.95" customHeight="1" x14ac:dyDescent="0.25">
      <c r="A19" s="15" t="s">
        <v>14</v>
      </c>
      <c r="B19" s="18" t="s">
        <v>27</v>
      </c>
      <c r="C19" s="87">
        <v>168976</v>
      </c>
      <c r="D19" s="87">
        <v>168976</v>
      </c>
      <c r="E19" s="87" t="s">
        <v>11</v>
      </c>
      <c r="F19" s="87">
        <v>0</v>
      </c>
      <c r="G19" s="89">
        <v>873479</v>
      </c>
      <c r="H19" s="89">
        <v>873479</v>
      </c>
      <c r="I19" s="89" t="s">
        <v>11</v>
      </c>
      <c r="J19" s="89">
        <v>0</v>
      </c>
      <c r="K19" s="87">
        <v>1368057</v>
      </c>
      <c r="L19" s="87">
        <v>1368057</v>
      </c>
      <c r="M19" s="87" t="s">
        <v>11</v>
      </c>
      <c r="N19" s="87">
        <v>0</v>
      </c>
      <c r="O19" s="89">
        <v>808457</v>
      </c>
      <c r="P19" s="89">
        <v>808457</v>
      </c>
      <c r="Q19" s="89" t="s">
        <v>11</v>
      </c>
      <c r="R19" s="89">
        <v>0</v>
      </c>
    </row>
    <row r="20" spans="1:18" ht="15.95" customHeight="1" x14ac:dyDescent="0.25">
      <c r="A20" s="15" t="s">
        <v>16</v>
      </c>
      <c r="B20" s="18" t="s">
        <v>28</v>
      </c>
      <c r="C20" s="87">
        <v>18548</v>
      </c>
      <c r="D20" s="87">
        <v>8195</v>
      </c>
      <c r="E20" s="87">
        <v>1567</v>
      </c>
      <c r="F20" s="87">
        <v>8786</v>
      </c>
      <c r="G20" s="89">
        <v>325</v>
      </c>
      <c r="H20" s="89">
        <v>325</v>
      </c>
      <c r="I20" s="89">
        <v>0</v>
      </c>
      <c r="J20" s="89">
        <v>0</v>
      </c>
      <c r="K20" s="87">
        <v>6516</v>
      </c>
      <c r="L20" s="87">
        <v>6516</v>
      </c>
      <c r="M20" s="87">
        <v>0</v>
      </c>
      <c r="N20" s="87">
        <v>0</v>
      </c>
      <c r="O20" s="89">
        <v>83399</v>
      </c>
      <c r="P20" s="89">
        <v>53665</v>
      </c>
      <c r="Q20" s="89">
        <v>1320</v>
      </c>
      <c r="R20" s="89">
        <v>28414</v>
      </c>
    </row>
    <row r="21" spans="1:18" ht="15.95" customHeight="1" x14ac:dyDescent="0.25">
      <c r="A21" s="158" t="s">
        <v>30</v>
      </c>
      <c r="B21" s="158"/>
      <c r="C21" s="21">
        <f t="shared" ref="C21:H21" si="1">SUM(C17:C20)</f>
        <v>197931</v>
      </c>
      <c r="D21" s="21">
        <f t="shared" si="1"/>
        <v>180438</v>
      </c>
      <c r="E21" s="21">
        <f t="shared" si="1"/>
        <v>2447</v>
      </c>
      <c r="F21" s="21">
        <f t="shared" si="1"/>
        <v>15046</v>
      </c>
      <c r="G21" s="54">
        <f t="shared" si="1"/>
        <v>1584039</v>
      </c>
      <c r="H21" s="54">
        <f t="shared" si="1"/>
        <v>1584039</v>
      </c>
      <c r="I21" s="54">
        <v>0</v>
      </c>
      <c r="J21" s="54">
        <v>0</v>
      </c>
      <c r="K21" s="21">
        <f>SUM(K17:K20)</f>
        <v>1374573</v>
      </c>
      <c r="L21" s="21">
        <f>SUM(L17:L20)</f>
        <v>1374573</v>
      </c>
      <c r="M21" s="21">
        <v>0</v>
      </c>
      <c r="N21" s="21">
        <v>0</v>
      </c>
      <c r="O21" s="54">
        <f>SUM(O17:O20)</f>
        <v>1041140</v>
      </c>
      <c r="P21" s="54">
        <f>SUM(P17:P20)</f>
        <v>1005662</v>
      </c>
      <c r="Q21" s="54">
        <v>0</v>
      </c>
      <c r="R21" s="54">
        <f>SUM(R17:R20)</f>
        <v>34158</v>
      </c>
    </row>
    <row r="22" spans="1:18" ht="15.95" customHeight="1" x14ac:dyDescent="0.25">
      <c r="A22" s="158" t="s">
        <v>32</v>
      </c>
      <c r="B22" s="158"/>
      <c r="C22" s="21">
        <f>C21/4</f>
        <v>49482.75</v>
      </c>
      <c r="D22" s="21">
        <f>D21/4</f>
        <v>45109.5</v>
      </c>
      <c r="E22" s="21">
        <f>E21/2</f>
        <v>1223.5</v>
      </c>
      <c r="F22" s="21">
        <f>F21/4</f>
        <v>3761.5</v>
      </c>
      <c r="G22" s="21">
        <f>G21/4</f>
        <v>396009.75</v>
      </c>
      <c r="H22" s="21">
        <f>H21/4</f>
        <v>396009.75</v>
      </c>
      <c r="I22" s="21">
        <v>0</v>
      </c>
      <c r="J22" s="21">
        <v>0</v>
      </c>
      <c r="K22" s="21">
        <f>K21/4</f>
        <v>343643.25</v>
      </c>
      <c r="L22" s="21">
        <f>L21/4</f>
        <v>343643.25</v>
      </c>
      <c r="M22" s="21">
        <v>0</v>
      </c>
      <c r="N22" s="21">
        <v>0</v>
      </c>
      <c r="O22" s="21">
        <f>O21/4</f>
        <v>260285</v>
      </c>
      <c r="P22" s="21">
        <f>P21/4</f>
        <v>251415.5</v>
      </c>
      <c r="Q22" s="21">
        <v>0</v>
      </c>
      <c r="R22" s="21">
        <f>R21/4</f>
        <v>8539.5</v>
      </c>
    </row>
    <row r="23" spans="1:18" ht="27" customHeight="1" x14ac:dyDescent="0.25">
      <c r="A23" s="159" t="s">
        <v>29</v>
      </c>
      <c r="B23" s="159"/>
      <c r="C23" s="51">
        <f t="shared" ref="C23:H23" si="2">SUM(C14,C21)</f>
        <v>451348</v>
      </c>
      <c r="D23" s="51">
        <f t="shared" si="2"/>
        <v>362928</v>
      </c>
      <c r="E23" s="51">
        <f t="shared" si="2"/>
        <v>11972</v>
      </c>
      <c r="F23" s="51">
        <f t="shared" si="2"/>
        <v>76448</v>
      </c>
      <c r="G23" s="50">
        <f t="shared" si="2"/>
        <v>1604251</v>
      </c>
      <c r="H23" s="50">
        <f t="shared" si="2"/>
        <v>1604251</v>
      </c>
      <c r="I23" s="50">
        <v>0</v>
      </c>
      <c r="J23" s="50">
        <v>0</v>
      </c>
      <c r="K23" s="51">
        <f>SUM(K14,K21)</f>
        <v>1390369</v>
      </c>
      <c r="L23" s="51">
        <f>SUM(L14,L21)</f>
        <v>1390369</v>
      </c>
      <c r="M23" s="51">
        <v>0</v>
      </c>
      <c r="N23" s="51">
        <v>0</v>
      </c>
      <c r="O23" s="50">
        <f>SUM(O14,O21)</f>
        <v>1325481</v>
      </c>
      <c r="P23" s="50">
        <f>SUM(P14,P21)</f>
        <v>1266996</v>
      </c>
      <c r="Q23" s="50">
        <f>SUM(Q14,Q21)</f>
        <v>4354</v>
      </c>
      <c r="R23" s="50">
        <f>SUM(R14,R21)</f>
        <v>52811</v>
      </c>
    </row>
    <row r="24" spans="1:18" ht="32.25" customHeight="1" x14ac:dyDescent="0.25">
      <c r="A24" s="159" t="s">
        <v>31</v>
      </c>
      <c r="B24" s="159"/>
      <c r="C24" s="51">
        <f>C23/11</f>
        <v>41031.63636363636</v>
      </c>
      <c r="D24" s="51">
        <f>D23/11</f>
        <v>32993.454545454544</v>
      </c>
      <c r="E24" s="51">
        <f>E23/7</f>
        <v>1710.2857142857142</v>
      </c>
      <c r="F24" s="51">
        <f>F23/8</f>
        <v>9556</v>
      </c>
      <c r="G24" s="51">
        <f>G23/11</f>
        <v>145841</v>
      </c>
      <c r="H24" s="51">
        <f>H23/11</f>
        <v>145841</v>
      </c>
      <c r="I24" s="51">
        <v>0</v>
      </c>
      <c r="J24" s="51">
        <v>0</v>
      </c>
      <c r="K24" s="51">
        <f>K23/11</f>
        <v>126397.18181818182</v>
      </c>
      <c r="L24" s="51">
        <f>L23/11</f>
        <v>126397.18181818182</v>
      </c>
      <c r="M24" s="51">
        <v>0</v>
      </c>
      <c r="N24" s="51">
        <v>0</v>
      </c>
      <c r="O24" s="51">
        <f>O23/11</f>
        <v>120498.27272727272</v>
      </c>
      <c r="P24" s="51">
        <f>P23/11</f>
        <v>115181.45454545454</v>
      </c>
      <c r="Q24" s="51">
        <f>Q23/8</f>
        <v>544.25</v>
      </c>
      <c r="R24" s="51">
        <f>R23/8</f>
        <v>6601.375</v>
      </c>
    </row>
  </sheetData>
  <mergeCells count="15">
    <mergeCell ref="A2:R2"/>
    <mergeCell ref="A14:B14"/>
    <mergeCell ref="A21:B21"/>
    <mergeCell ref="A23:B23"/>
    <mergeCell ref="A24:B24"/>
    <mergeCell ref="A16:R16"/>
    <mergeCell ref="A4:A5"/>
    <mergeCell ref="B4:B5"/>
    <mergeCell ref="C4:F4"/>
    <mergeCell ref="G4:J4"/>
    <mergeCell ref="K4:N4"/>
    <mergeCell ref="O4:R4"/>
    <mergeCell ref="A6:R6"/>
    <mergeCell ref="A15:B15"/>
    <mergeCell ref="A22:B22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E2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V25"/>
  <sheetViews>
    <sheetView workbookViewId="0">
      <selection activeCell="X8" sqref="X8"/>
    </sheetView>
  </sheetViews>
  <sheetFormatPr defaultRowHeight="15" x14ac:dyDescent="0.25"/>
  <cols>
    <col min="1" max="1" width="5.5703125" customWidth="1"/>
    <col min="2" max="2" width="27.140625" customWidth="1"/>
    <col min="3" max="3" width="8.85546875" customWidth="1"/>
    <col min="4" max="4" width="7.85546875" customWidth="1"/>
    <col min="5" max="5" width="7.7109375" customWidth="1"/>
    <col min="6" max="6" width="8.42578125" customWidth="1"/>
    <col min="7" max="7" width="7.85546875" customWidth="1"/>
    <col min="8" max="8" width="8.5703125" customWidth="1"/>
    <col min="9" max="9" width="8.28515625" customWidth="1"/>
    <col min="10" max="10" width="8" customWidth="1"/>
    <col min="11" max="11" width="8.28515625" customWidth="1"/>
    <col min="12" max="12" width="8.140625" customWidth="1"/>
    <col min="13" max="14" width="8.5703125" customWidth="1"/>
    <col min="15" max="15" width="7.85546875" customWidth="1"/>
    <col min="16" max="16" width="8.28515625" customWidth="1"/>
    <col min="17" max="17" width="8.42578125" customWidth="1"/>
    <col min="18" max="19" width="8.5703125" customWidth="1"/>
    <col min="20" max="20" width="7.85546875" customWidth="1"/>
    <col min="21" max="21" width="8.5703125" customWidth="1"/>
    <col min="22" max="22" width="8.42578125" customWidth="1"/>
  </cols>
  <sheetData>
    <row r="2" spans="1:22" ht="15.75" x14ac:dyDescent="0.25">
      <c r="A2" s="115" t="s">
        <v>85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</row>
    <row r="3" spans="1:22" ht="15.75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15.75" customHeight="1" x14ac:dyDescent="0.25">
      <c r="A4" s="112" t="s">
        <v>0</v>
      </c>
      <c r="B4" s="112" t="s">
        <v>1</v>
      </c>
      <c r="C4" s="116" t="s">
        <v>86</v>
      </c>
      <c r="D4" s="117"/>
      <c r="E4" s="118"/>
      <c r="F4" s="112" t="s">
        <v>79</v>
      </c>
      <c r="G4" s="112" t="s">
        <v>36</v>
      </c>
      <c r="H4" s="116" t="s">
        <v>87</v>
      </c>
      <c r="I4" s="117"/>
      <c r="J4" s="118"/>
      <c r="K4" s="112" t="s">
        <v>79</v>
      </c>
      <c r="L4" s="112" t="s">
        <v>36</v>
      </c>
      <c r="M4" s="116" t="s">
        <v>88</v>
      </c>
      <c r="N4" s="117"/>
      <c r="O4" s="118"/>
      <c r="P4" s="112" t="s">
        <v>79</v>
      </c>
      <c r="Q4" s="112" t="s">
        <v>36</v>
      </c>
      <c r="R4" s="116" t="s">
        <v>89</v>
      </c>
      <c r="S4" s="117"/>
      <c r="T4" s="118"/>
      <c r="U4" s="112" t="s">
        <v>79</v>
      </c>
      <c r="V4" s="112" t="s">
        <v>36</v>
      </c>
    </row>
    <row r="5" spans="1:22" ht="15.75" customHeight="1" x14ac:dyDescent="0.25">
      <c r="A5" s="113"/>
      <c r="B5" s="113"/>
      <c r="C5" s="119"/>
      <c r="D5" s="120"/>
      <c r="E5" s="121"/>
      <c r="F5" s="113"/>
      <c r="G5" s="113"/>
      <c r="H5" s="119"/>
      <c r="I5" s="120"/>
      <c r="J5" s="121"/>
      <c r="K5" s="113"/>
      <c r="L5" s="113"/>
      <c r="M5" s="119"/>
      <c r="N5" s="120"/>
      <c r="O5" s="121"/>
      <c r="P5" s="113"/>
      <c r="Q5" s="113"/>
      <c r="R5" s="119"/>
      <c r="S5" s="120"/>
      <c r="T5" s="121"/>
      <c r="U5" s="113"/>
      <c r="V5" s="113"/>
    </row>
    <row r="6" spans="1:22" ht="15.75" x14ac:dyDescent="0.25">
      <c r="A6" s="113"/>
      <c r="B6" s="113"/>
      <c r="C6" s="8" t="s">
        <v>37</v>
      </c>
      <c r="D6" s="8" t="s">
        <v>38</v>
      </c>
      <c r="E6" s="8" t="s">
        <v>39</v>
      </c>
      <c r="F6" s="113"/>
      <c r="G6" s="113"/>
      <c r="H6" s="8" t="s">
        <v>37</v>
      </c>
      <c r="I6" s="8" t="s">
        <v>38</v>
      </c>
      <c r="J6" s="8" t="s">
        <v>39</v>
      </c>
      <c r="K6" s="113"/>
      <c r="L6" s="113"/>
      <c r="M6" s="8" t="s">
        <v>37</v>
      </c>
      <c r="N6" s="8" t="s">
        <v>38</v>
      </c>
      <c r="O6" s="8" t="s">
        <v>39</v>
      </c>
      <c r="P6" s="113"/>
      <c r="Q6" s="113"/>
      <c r="R6" s="8" t="s">
        <v>37</v>
      </c>
      <c r="S6" s="8" t="s">
        <v>38</v>
      </c>
      <c r="T6" s="8" t="s">
        <v>39</v>
      </c>
      <c r="U6" s="113"/>
      <c r="V6" s="113"/>
    </row>
    <row r="7" spans="1:22" ht="15.75" x14ac:dyDescent="0.25">
      <c r="A7" s="123" t="s">
        <v>7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</row>
    <row r="8" spans="1:22" ht="16.5" customHeight="1" x14ac:dyDescent="0.25">
      <c r="A8" s="3" t="s">
        <v>8</v>
      </c>
      <c r="B8" s="4" t="s">
        <v>9</v>
      </c>
      <c r="C8" s="6">
        <v>21388</v>
      </c>
      <c r="D8" s="6">
        <v>17023</v>
      </c>
      <c r="E8" s="6">
        <v>4365</v>
      </c>
      <c r="F8" s="6">
        <v>22199</v>
      </c>
      <c r="G8" s="6">
        <f t="shared" ref="G8:G14" si="0">C8-F8</f>
        <v>-811</v>
      </c>
      <c r="H8" s="6">
        <v>6027</v>
      </c>
      <c r="I8" s="6">
        <v>4820</v>
      </c>
      <c r="J8" s="6">
        <v>1207</v>
      </c>
      <c r="K8" s="6">
        <v>5574</v>
      </c>
      <c r="L8" s="6">
        <f t="shared" ref="L8:L14" si="1">H8-K8</f>
        <v>453</v>
      </c>
      <c r="M8" s="6">
        <f>13891+1470</f>
        <v>15361</v>
      </c>
      <c r="N8" s="6">
        <f>10972+1231</f>
        <v>12203</v>
      </c>
      <c r="O8" s="6">
        <f>2919+239</f>
        <v>3158</v>
      </c>
      <c r="P8" s="6">
        <f>15411+1214</f>
        <v>16625</v>
      </c>
      <c r="Q8" s="6">
        <f>M8-P8</f>
        <v>-1264</v>
      </c>
      <c r="R8" s="6" t="s">
        <v>11</v>
      </c>
      <c r="S8" s="6" t="s">
        <v>11</v>
      </c>
      <c r="T8" s="6" t="s">
        <v>11</v>
      </c>
      <c r="U8" s="6" t="s">
        <v>11</v>
      </c>
      <c r="V8" s="6" t="s">
        <v>11</v>
      </c>
    </row>
    <row r="9" spans="1:22" ht="16.5" customHeight="1" x14ac:dyDescent="0.25">
      <c r="A9" s="3" t="s">
        <v>12</v>
      </c>
      <c r="B9" s="4" t="s">
        <v>13</v>
      </c>
      <c r="C9" s="6">
        <v>10143</v>
      </c>
      <c r="D9" s="6">
        <v>9045</v>
      </c>
      <c r="E9" s="6">
        <v>1098</v>
      </c>
      <c r="F9" s="6">
        <v>10786</v>
      </c>
      <c r="G9" s="6">
        <f t="shared" si="0"/>
        <v>-643</v>
      </c>
      <c r="H9" s="6">
        <v>2745</v>
      </c>
      <c r="I9" s="6">
        <v>2362</v>
      </c>
      <c r="J9" s="6">
        <v>383</v>
      </c>
      <c r="K9" s="6">
        <v>3305</v>
      </c>
      <c r="L9" s="6">
        <f t="shared" si="1"/>
        <v>-560</v>
      </c>
      <c r="M9" s="6">
        <v>654</v>
      </c>
      <c r="N9" s="6">
        <v>589</v>
      </c>
      <c r="O9" s="6">
        <v>65</v>
      </c>
      <c r="P9" s="6">
        <v>625</v>
      </c>
      <c r="Q9" s="6">
        <f>M9-P9</f>
        <v>29</v>
      </c>
      <c r="R9" s="6">
        <v>6744</v>
      </c>
      <c r="S9" s="6">
        <v>6094</v>
      </c>
      <c r="T9" s="6">
        <v>650</v>
      </c>
      <c r="U9" s="6">
        <v>6856</v>
      </c>
      <c r="V9" s="6">
        <f>R9-U9</f>
        <v>-112</v>
      </c>
    </row>
    <row r="10" spans="1:22" ht="17.25" customHeight="1" x14ac:dyDescent="0.25">
      <c r="A10" s="3" t="s">
        <v>14</v>
      </c>
      <c r="B10" s="4" t="s">
        <v>15</v>
      </c>
      <c r="C10" s="6">
        <v>5394</v>
      </c>
      <c r="D10" s="6">
        <v>4820</v>
      </c>
      <c r="E10" s="6">
        <v>574</v>
      </c>
      <c r="F10" s="6">
        <v>7874</v>
      </c>
      <c r="G10" s="6">
        <f t="shared" si="0"/>
        <v>-2480</v>
      </c>
      <c r="H10" s="6">
        <v>5394</v>
      </c>
      <c r="I10" s="6">
        <v>4820</v>
      </c>
      <c r="J10" s="6">
        <v>574</v>
      </c>
      <c r="K10" s="6">
        <v>3810</v>
      </c>
      <c r="L10" s="6">
        <f t="shared" si="1"/>
        <v>1584</v>
      </c>
      <c r="M10" s="6">
        <v>0</v>
      </c>
      <c r="N10" s="6">
        <v>0</v>
      </c>
      <c r="O10" s="6">
        <v>0</v>
      </c>
      <c r="P10" s="6">
        <v>543</v>
      </c>
      <c r="Q10" s="6">
        <v>0</v>
      </c>
      <c r="R10" s="6">
        <v>0</v>
      </c>
      <c r="S10" s="6">
        <v>0</v>
      </c>
      <c r="T10" s="6">
        <v>0</v>
      </c>
      <c r="U10" s="6">
        <v>3521</v>
      </c>
      <c r="V10" s="6">
        <v>0</v>
      </c>
    </row>
    <row r="11" spans="1:22" ht="16.5" customHeight="1" x14ac:dyDescent="0.25">
      <c r="A11" s="3" t="s">
        <v>16</v>
      </c>
      <c r="B11" s="4" t="s">
        <v>17</v>
      </c>
      <c r="C11" s="6">
        <v>1267</v>
      </c>
      <c r="D11" s="6">
        <v>772</v>
      </c>
      <c r="E11" s="6">
        <v>495</v>
      </c>
      <c r="F11" s="6">
        <v>1418</v>
      </c>
      <c r="G11" s="6">
        <f t="shared" si="0"/>
        <v>-151</v>
      </c>
      <c r="H11" s="6">
        <v>704</v>
      </c>
      <c r="I11" s="6">
        <v>433</v>
      </c>
      <c r="J11" s="6">
        <v>271</v>
      </c>
      <c r="K11" s="6">
        <v>800</v>
      </c>
      <c r="L11" s="6">
        <f t="shared" si="1"/>
        <v>-96</v>
      </c>
      <c r="M11" s="6">
        <v>563</v>
      </c>
      <c r="N11" s="6">
        <v>339</v>
      </c>
      <c r="O11" s="6">
        <v>224</v>
      </c>
      <c r="P11" s="6">
        <v>618</v>
      </c>
      <c r="Q11" s="6">
        <f>M11-P11</f>
        <v>-55</v>
      </c>
      <c r="R11" s="6" t="s">
        <v>11</v>
      </c>
      <c r="S11" s="6" t="s">
        <v>11</v>
      </c>
      <c r="T11" s="6" t="s">
        <v>11</v>
      </c>
      <c r="U11" s="6" t="s">
        <v>11</v>
      </c>
      <c r="V11" s="6" t="s">
        <v>11</v>
      </c>
    </row>
    <row r="12" spans="1:22" ht="15" customHeight="1" x14ac:dyDescent="0.25">
      <c r="A12" s="3" t="s">
        <v>18</v>
      </c>
      <c r="B12" s="4" t="s">
        <v>19</v>
      </c>
      <c r="C12" s="6">
        <v>4382</v>
      </c>
      <c r="D12" s="6">
        <v>3132</v>
      </c>
      <c r="E12" s="6">
        <v>1250</v>
      </c>
      <c r="F12" s="6">
        <v>5422</v>
      </c>
      <c r="G12" s="6">
        <f t="shared" si="0"/>
        <v>-1040</v>
      </c>
      <c r="H12" s="6">
        <v>4382</v>
      </c>
      <c r="I12" s="6">
        <v>3132</v>
      </c>
      <c r="J12" s="6">
        <v>1250</v>
      </c>
      <c r="K12" s="6">
        <v>5422</v>
      </c>
      <c r="L12" s="6">
        <f t="shared" si="1"/>
        <v>-1040</v>
      </c>
      <c r="M12" s="6" t="s">
        <v>11</v>
      </c>
      <c r="N12" s="6" t="s">
        <v>11</v>
      </c>
      <c r="O12" s="6" t="s">
        <v>11</v>
      </c>
      <c r="P12" s="6" t="s">
        <v>11</v>
      </c>
      <c r="Q12" s="6" t="s">
        <v>11</v>
      </c>
      <c r="R12" s="6" t="s">
        <v>11</v>
      </c>
      <c r="S12" s="6" t="s">
        <v>11</v>
      </c>
      <c r="T12" s="6" t="s">
        <v>11</v>
      </c>
      <c r="U12" s="6" t="s">
        <v>11</v>
      </c>
      <c r="V12" s="6" t="s">
        <v>11</v>
      </c>
    </row>
    <row r="13" spans="1:22" ht="15" customHeight="1" x14ac:dyDescent="0.25">
      <c r="A13" s="3" t="s">
        <v>20</v>
      </c>
      <c r="B13" s="4" t="s">
        <v>21</v>
      </c>
      <c r="C13" s="6">
        <v>3770</v>
      </c>
      <c r="D13" s="6">
        <v>3537</v>
      </c>
      <c r="E13" s="6">
        <v>233</v>
      </c>
      <c r="F13" s="6">
        <v>4091</v>
      </c>
      <c r="G13" s="6">
        <f t="shared" si="0"/>
        <v>-321</v>
      </c>
      <c r="H13" s="6">
        <v>1158</v>
      </c>
      <c r="I13" s="6">
        <v>1090</v>
      </c>
      <c r="J13" s="6">
        <v>68</v>
      </c>
      <c r="K13" s="6">
        <v>1453</v>
      </c>
      <c r="L13" s="6">
        <f t="shared" si="1"/>
        <v>-295</v>
      </c>
      <c r="M13" s="6">
        <v>172</v>
      </c>
      <c r="N13" s="6">
        <v>153</v>
      </c>
      <c r="O13" s="6">
        <v>19</v>
      </c>
      <c r="P13" s="6">
        <v>209</v>
      </c>
      <c r="Q13" s="6">
        <f>M13-P13</f>
        <v>-37</v>
      </c>
      <c r="R13" s="6">
        <v>2440</v>
      </c>
      <c r="S13" s="6">
        <v>2294</v>
      </c>
      <c r="T13" s="6">
        <v>146</v>
      </c>
      <c r="U13" s="6">
        <v>2429</v>
      </c>
      <c r="V13" s="6">
        <f>R13-U13</f>
        <v>11</v>
      </c>
    </row>
    <row r="14" spans="1:22" ht="15.75" x14ac:dyDescent="0.25">
      <c r="A14" s="3" t="s">
        <v>22</v>
      </c>
      <c r="B14" s="4" t="s">
        <v>23</v>
      </c>
      <c r="C14" s="6">
        <v>5162</v>
      </c>
      <c r="D14" s="6">
        <v>4191</v>
      </c>
      <c r="E14" s="6">
        <v>971</v>
      </c>
      <c r="F14" s="6">
        <v>8024</v>
      </c>
      <c r="G14" s="6">
        <f t="shared" si="0"/>
        <v>-2862</v>
      </c>
      <c r="H14" s="6">
        <v>5162</v>
      </c>
      <c r="I14" s="6">
        <v>4191</v>
      </c>
      <c r="J14" s="6">
        <v>971</v>
      </c>
      <c r="K14" s="6">
        <v>2845</v>
      </c>
      <c r="L14" s="6">
        <f t="shared" si="1"/>
        <v>2317</v>
      </c>
      <c r="M14" s="6" t="s">
        <v>11</v>
      </c>
      <c r="N14" s="6" t="s">
        <v>11</v>
      </c>
      <c r="O14" s="6" t="s">
        <v>11</v>
      </c>
      <c r="P14" s="6" t="s">
        <v>11</v>
      </c>
      <c r="Q14" s="6" t="s">
        <v>11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</row>
    <row r="15" spans="1:22" ht="15.75" x14ac:dyDescent="0.25">
      <c r="A15" s="122" t="s">
        <v>30</v>
      </c>
      <c r="B15" s="122"/>
      <c r="C15" s="7">
        <f t="shared" ref="C15:K15" si="2">SUM(C8:C14)</f>
        <v>51506</v>
      </c>
      <c r="D15" s="7">
        <f t="shared" si="2"/>
        <v>42520</v>
      </c>
      <c r="E15" s="7">
        <f t="shared" si="2"/>
        <v>8986</v>
      </c>
      <c r="F15" s="7">
        <f t="shared" si="2"/>
        <v>59814</v>
      </c>
      <c r="G15" s="7">
        <f t="shared" si="2"/>
        <v>-8308</v>
      </c>
      <c r="H15" s="7">
        <f>SUM(H8:H14)</f>
        <v>25572</v>
      </c>
      <c r="I15" s="7">
        <f t="shared" si="2"/>
        <v>20848</v>
      </c>
      <c r="J15" s="7">
        <f t="shared" si="2"/>
        <v>4724</v>
      </c>
      <c r="K15" s="7">
        <f t="shared" si="2"/>
        <v>23209</v>
      </c>
      <c r="L15" s="7">
        <f t="shared" ref="L15" si="3">H15-K15</f>
        <v>2363</v>
      </c>
      <c r="M15" s="9">
        <f>SUM(M8:M13)</f>
        <v>16750</v>
      </c>
      <c r="N15" s="9">
        <f>SUM(N8:N13)</f>
        <v>13284</v>
      </c>
      <c r="O15" s="9">
        <f>SUM(O8:O13)</f>
        <v>3466</v>
      </c>
      <c r="P15" s="9">
        <f>SUM(P8:P13)</f>
        <v>18620</v>
      </c>
      <c r="Q15" s="9">
        <f>SUM(Q8:Q13)</f>
        <v>-1327</v>
      </c>
      <c r="R15" s="9">
        <f>SUM(R9:R14)</f>
        <v>9184</v>
      </c>
      <c r="S15" s="9">
        <f>SUM(S9:S14)</f>
        <v>8388</v>
      </c>
      <c r="T15" s="9">
        <f>SUM(T9:T14)</f>
        <v>796</v>
      </c>
      <c r="U15" s="9">
        <f>SUM(U9:U14)</f>
        <v>12806</v>
      </c>
      <c r="V15" s="9">
        <f>R15-U15</f>
        <v>-3622</v>
      </c>
    </row>
    <row r="16" spans="1:22" ht="15.75" x14ac:dyDescent="0.25">
      <c r="A16" s="106" t="s">
        <v>32</v>
      </c>
      <c r="B16" s="107"/>
      <c r="C16" s="9">
        <f t="shared" ref="C16:L16" si="4">C15/7</f>
        <v>7358</v>
      </c>
      <c r="D16" s="9">
        <f t="shared" si="4"/>
        <v>6074.2857142857147</v>
      </c>
      <c r="E16" s="9">
        <f t="shared" si="4"/>
        <v>1283.7142857142858</v>
      </c>
      <c r="F16" s="9">
        <f t="shared" si="4"/>
        <v>8544.8571428571431</v>
      </c>
      <c r="G16" s="9">
        <f t="shared" si="4"/>
        <v>-1186.8571428571429</v>
      </c>
      <c r="H16" s="9">
        <f t="shared" si="4"/>
        <v>3653.1428571428573</v>
      </c>
      <c r="I16" s="9">
        <f t="shared" si="4"/>
        <v>2978.2857142857142</v>
      </c>
      <c r="J16" s="9">
        <f t="shared" si="4"/>
        <v>674.85714285714289</v>
      </c>
      <c r="K16" s="9">
        <f t="shared" si="4"/>
        <v>3315.5714285714284</v>
      </c>
      <c r="L16" s="7">
        <f t="shared" si="4"/>
        <v>337.57142857142856</v>
      </c>
      <c r="M16" s="9">
        <f>M15/5</f>
        <v>3350</v>
      </c>
      <c r="N16" s="9">
        <f>N15/5</f>
        <v>2656.8</v>
      </c>
      <c r="O16" s="9">
        <f>O15/5</f>
        <v>693.2</v>
      </c>
      <c r="P16" s="9">
        <f>P15/5</f>
        <v>3724</v>
      </c>
      <c r="Q16" s="9">
        <f>Q15/5</f>
        <v>-265.39999999999998</v>
      </c>
      <c r="R16" s="9">
        <f>R15/4</f>
        <v>2296</v>
      </c>
      <c r="S16" s="9">
        <f>S15/4</f>
        <v>2097</v>
      </c>
      <c r="T16" s="9">
        <f>T15/4</f>
        <v>199</v>
      </c>
      <c r="U16" s="9">
        <f>U15/4</f>
        <v>3201.5</v>
      </c>
      <c r="V16" s="9">
        <f>V15/4</f>
        <v>-905.5</v>
      </c>
    </row>
    <row r="17" spans="1:22" ht="15.75" x14ac:dyDescent="0.25">
      <c r="A17" s="123" t="s">
        <v>24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t="15.75" customHeight="1" x14ac:dyDescent="0.25">
      <c r="A18" s="3" t="s">
        <v>8</v>
      </c>
      <c r="B18" s="4" t="s">
        <v>25</v>
      </c>
      <c r="C18" s="6">
        <v>7110</v>
      </c>
      <c r="D18" s="6">
        <v>5593</v>
      </c>
      <c r="E18" s="6">
        <v>1517</v>
      </c>
      <c r="F18" s="6">
        <v>5762</v>
      </c>
      <c r="G18" s="6">
        <f>C18-F18</f>
        <v>1348</v>
      </c>
      <c r="H18" s="6">
        <v>3589</v>
      </c>
      <c r="I18" s="6">
        <v>2523</v>
      </c>
      <c r="J18" s="6">
        <v>1066</v>
      </c>
      <c r="K18" s="6">
        <v>2150</v>
      </c>
      <c r="L18" s="6">
        <f>H18-K18</f>
        <v>1439</v>
      </c>
      <c r="M18" s="6">
        <v>189</v>
      </c>
      <c r="N18" s="6">
        <v>167</v>
      </c>
      <c r="O18" s="6">
        <v>22</v>
      </c>
      <c r="P18" s="6">
        <v>289</v>
      </c>
      <c r="Q18" s="6">
        <f>M18-P18</f>
        <v>-100</v>
      </c>
      <c r="R18" s="6">
        <v>3332</v>
      </c>
      <c r="S18" s="6">
        <v>2903</v>
      </c>
      <c r="T18" s="6">
        <v>429</v>
      </c>
      <c r="U18" s="6">
        <v>3323</v>
      </c>
      <c r="V18" s="6">
        <f>R18-U18</f>
        <v>9</v>
      </c>
    </row>
    <row r="19" spans="1:22" ht="15" customHeight="1" x14ac:dyDescent="0.25">
      <c r="A19" s="3" t="s">
        <v>12</v>
      </c>
      <c r="B19" s="4" t="s">
        <v>26</v>
      </c>
      <c r="C19" s="6">
        <v>947</v>
      </c>
      <c r="D19" s="6">
        <v>860</v>
      </c>
      <c r="E19" s="6">
        <v>87</v>
      </c>
      <c r="F19" s="6">
        <v>1566</v>
      </c>
      <c r="G19" s="6">
        <f>C19-F19</f>
        <v>-619</v>
      </c>
      <c r="H19" s="6">
        <v>0</v>
      </c>
      <c r="I19" s="6">
        <v>0</v>
      </c>
      <c r="J19" s="6">
        <v>0</v>
      </c>
      <c r="K19" s="6">
        <v>554</v>
      </c>
      <c r="L19" s="6">
        <f>H19-K19</f>
        <v>-554</v>
      </c>
      <c r="M19" s="6" t="s">
        <v>11</v>
      </c>
      <c r="N19" s="6" t="s">
        <v>11</v>
      </c>
      <c r="O19" s="6" t="s">
        <v>11</v>
      </c>
      <c r="P19" s="6" t="s">
        <v>11</v>
      </c>
      <c r="Q19" s="6" t="s">
        <v>11</v>
      </c>
      <c r="R19" s="6">
        <v>947</v>
      </c>
      <c r="S19" s="6">
        <v>860</v>
      </c>
      <c r="T19" s="6">
        <v>87</v>
      </c>
      <c r="U19" s="6">
        <v>1012</v>
      </c>
      <c r="V19" s="6">
        <f>R19-U19</f>
        <v>-65</v>
      </c>
    </row>
    <row r="20" spans="1:22" ht="15.75" x14ac:dyDescent="0.25">
      <c r="A20" s="3" t="s">
        <v>14</v>
      </c>
      <c r="B20" s="4" t="s">
        <v>27</v>
      </c>
      <c r="C20" s="6">
        <v>4276</v>
      </c>
      <c r="D20" s="6">
        <v>3547</v>
      </c>
      <c r="E20" s="6">
        <v>729</v>
      </c>
      <c r="F20" s="6">
        <v>4754</v>
      </c>
      <c r="G20" s="6">
        <f>C20-F20</f>
        <v>-478</v>
      </c>
      <c r="H20" s="6">
        <v>1392</v>
      </c>
      <c r="I20" s="6">
        <v>1252</v>
      </c>
      <c r="J20" s="6">
        <v>140</v>
      </c>
      <c r="K20" s="6">
        <v>1498</v>
      </c>
      <c r="L20" s="6">
        <f>H20-K20</f>
        <v>-106</v>
      </c>
      <c r="M20" s="6" t="s">
        <v>11</v>
      </c>
      <c r="N20" s="6" t="s">
        <v>11</v>
      </c>
      <c r="O20" s="6" t="s">
        <v>11</v>
      </c>
      <c r="P20" s="6" t="s">
        <v>11</v>
      </c>
      <c r="Q20" s="6" t="s">
        <v>11</v>
      </c>
      <c r="R20" s="6">
        <v>2884</v>
      </c>
      <c r="S20" s="6">
        <v>2295</v>
      </c>
      <c r="T20" s="6">
        <v>589</v>
      </c>
      <c r="U20" s="6">
        <v>3256</v>
      </c>
      <c r="V20" s="6">
        <f>R20-U20</f>
        <v>-372</v>
      </c>
    </row>
    <row r="21" spans="1:22" ht="16.5" customHeight="1" x14ac:dyDescent="0.25">
      <c r="A21" s="3" t="s">
        <v>16</v>
      </c>
      <c r="B21" s="4" t="s">
        <v>28</v>
      </c>
      <c r="C21" s="6">
        <v>5422</v>
      </c>
      <c r="D21" s="6">
        <v>4698</v>
      </c>
      <c r="E21" s="6">
        <v>724</v>
      </c>
      <c r="F21" s="6">
        <v>8891</v>
      </c>
      <c r="G21" s="6">
        <f>C21-F21</f>
        <v>-3469</v>
      </c>
      <c r="H21" s="6">
        <v>5422</v>
      </c>
      <c r="I21" s="6">
        <v>4698</v>
      </c>
      <c r="J21" s="6">
        <v>724</v>
      </c>
      <c r="K21" s="6">
        <v>3300</v>
      </c>
      <c r="L21" s="6">
        <f>H21-K21</f>
        <v>2122</v>
      </c>
      <c r="M21" s="6">
        <v>0</v>
      </c>
      <c r="N21" s="6">
        <v>0</v>
      </c>
      <c r="O21" s="6">
        <v>0</v>
      </c>
      <c r="P21" s="6">
        <v>959</v>
      </c>
      <c r="Q21" s="6">
        <v>0</v>
      </c>
      <c r="R21" s="6">
        <v>0</v>
      </c>
      <c r="S21" s="6">
        <v>0</v>
      </c>
      <c r="T21" s="6">
        <v>0</v>
      </c>
      <c r="U21" s="6">
        <v>4632</v>
      </c>
      <c r="V21" s="6">
        <v>0</v>
      </c>
    </row>
    <row r="22" spans="1:22" ht="16.5" customHeight="1" x14ac:dyDescent="0.25">
      <c r="A22" s="122" t="s">
        <v>30</v>
      </c>
      <c r="B22" s="122"/>
      <c r="C22" s="7">
        <f t="shared" ref="C22:U22" si="5">SUM(C18:C21)</f>
        <v>17755</v>
      </c>
      <c r="D22" s="7">
        <f t="shared" si="5"/>
        <v>14698</v>
      </c>
      <c r="E22" s="7">
        <f t="shared" si="5"/>
        <v>3057</v>
      </c>
      <c r="F22" s="7">
        <f t="shared" si="5"/>
        <v>20973</v>
      </c>
      <c r="G22" s="7">
        <f t="shared" si="5"/>
        <v>-3218</v>
      </c>
      <c r="H22" s="7">
        <f t="shared" si="5"/>
        <v>10403</v>
      </c>
      <c r="I22" s="7">
        <f t="shared" si="5"/>
        <v>8473</v>
      </c>
      <c r="J22" s="7">
        <f t="shared" si="5"/>
        <v>1930</v>
      </c>
      <c r="K22" s="7">
        <f t="shared" si="5"/>
        <v>7502</v>
      </c>
      <c r="L22" s="7">
        <f t="shared" si="5"/>
        <v>2901</v>
      </c>
      <c r="M22" s="7">
        <f t="shared" si="5"/>
        <v>189</v>
      </c>
      <c r="N22" s="7">
        <f t="shared" si="5"/>
        <v>167</v>
      </c>
      <c r="O22" s="7">
        <f t="shared" si="5"/>
        <v>22</v>
      </c>
      <c r="P22" s="7">
        <f t="shared" si="5"/>
        <v>1248</v>
      </c>
      <c r="Q22" s="9">
        <f t="shared" si="5"/>
        <v>-100</v>
      </c>
      <c r="R22" s="7">
        <f t="shared" si="5"/>
        <v>7163</v>
      </c>
      <c r="S22" s="7">
        <f t="shared" si="5"/>
        <v>6058</v>
      </c>
      <c r="T22" s="7">
        <f t="shared" si="5"/>
        <v>1105</v>
      </c>
      <c r="U22" s="7">
        <f t="shared" si="5"/>
        <v>12223</v>
      </c>
      <c r="V22" s="7">
        <f>R22-U22</f>
        <v>-5060</v>
      </c>
    </row>
    <row r="23" spans="1:22" ht="15.75" x14ac:dyDescent="0.25">
      <c r="A23" s="106" t="s">
        <v>32</v>
      </c>
      <c r="B23" s="107"/>
      <c r="C23" s="9">
        <f t="shared" ref="C23:L23" si="6">C22/4</f>
        <v>4438.75</v>
      </c>
      <c r="D23" s="9">
        <f t="shared" si="6"/>
        <v>3674.5</v>
      </c>
      <c r="E23" s="9">
        <f t="shared" si="6"/>
        <v>764.25</v>
      </c>
      <c r="F23" s="9">
        <f t="shared" si="6"/>
        <v>5243.25</v>
      </c>
      <c r="G23" s="9">
        <f t="shared" si="6"/>
        <v>-804.5</v>
      </c>
      <c r="H23" s="9">
        <f t="shared" si="6"/>
        <v>2600.75</v>
      </c>
      <c r="I23" s="9">
        <f t="shared" si="6"/>
        <v>2118.25</v>
      </c>
      <c r="J23" s="9">
        <f t="shared" si="6"/>
        <v>482.5</v>
      </c>
      <c r="K23" s="9">
        <f t="shared" si="6"/>
        <v>1875.5</v>
      </c>
      <c r="L23" s="9">
        <f t="shared" si="6"/>
        <v>725.25</v>
      </c>
      <c r="M23" s="9">
        <f>M22/2</f>
        <v>94.5</v>
      </c>
      <c r="N23" s="9">
        <f>N22/2</f>
        <v>83.5</v>
      </c>
      <c r="O23" s="9">
        <f>O22/2</f>
        <v>11</v>
      </c>
      <c r="P23" s="9">
        <f>P22/2</f>
        <v>624</v>
      </c>
      <c r="Q23" s="9">
        <f>Q22/2</f>
        <v>-50</v>
      </c>
      <c r="R23" s="9">
        <f>R22/4</f>
        <v>1790.75</v>
      </c>
      <c r="S23" s="9">
        <f>S22/4</f>
        <v>1514.5</v>
      </c>
      <c r="T23" s="9">
        <f>T22/4</f>
        <v>276.25</v>
      </c>
      <c r="U23" s="9">
        <f>U22/4</f>
        <v>3055.75</v>
      </c>
      <c r="V23" s="9">
        <f>V22/4</f>
        <v>-1265</v>
      </c>
    </row>
    <row r="24" spans="1:22" ht="28.5" customHeight="1" x14ac:dyDescent="0.25">
      <c r="A24" s="104" t="s">
        <v>29</v>
      </c>
      <c r="B24" s="114"/>
      <c r="C24" s="50">
        <f t="shared" ref="C24:V24" si="7">SUM(C15,C22)</f>
        <v>69261</v>
      </c>
      <c r="D24" s="50">
        <f t="shared" si="7"/>
        <v>57218</v>
      </c>
      <c r="E24" s="50">
        <f t="shared" si="7"/>
        <v>12043</v>
      </c>
      <c r="F24" s="50">
        <f t="shared" si="7"/>
        <v>80787</v>
      </c>
      <c r="G24" s="50">
        <f t="shared" si="7"/>
        <v>-11526</v>
      </c>
      <c r="H24" s="50">
        <f t="shared" si="7"/>
        <v>35975</v>
      </c>
      <c r="I24" s="50">
        <f t="shared" si="7"/>
        <v>29321</v>
      </c>
      <c r="J24" s="50">
        <f t="shared" si="7"/>
        <v>6654</v>
      </c>
      <c r="K24" s="50">
        <f t="shared" si="7"/>
        <v>30711</v>
      </c>
      <c r="L24" s="50">
        <f t="shared" si="7"/>
        <v>5264</v>
      </c>
      <c r="M24" s="51">
        <f t="shared" si="7"/>
        <v>16939</v>
      </c>
      <c r="N24" s="51">
        <f t="shared" si="7"/>
        <v>13451</v>
      </c>
      <c r="O24" s="51">
        <f t="shared" si="7"/>
        <v>3488</v>
      </c>
      <c r="P24" s="51">
        <f t="shared" si="7"/>
        <v>19868</v>
      </c>
      <c r="Q24" s="51">
        <f t="shared" si="7"/>
        <v>-1427</v>
      </c>
      <c r="R24" s="51">
        <f t="shared" si="7"/>
        <v>16347</v>
      </c>
      <c r="S24" s="51">
        <f t="shared" si="7"/>
        <v>14446</v>
      </c>
      <c r="T24" s="51">
        <f t="shared" si="7"/>
        <v>1901</v>
      </c>
      <c r="U24" s="51">
        <f t="shared" si="7"/>
        <v>25029</v>
      </c>
      <c r="V24" s="51">
        <f t="shared" si="7"/>
        <v>-8682</v>
      </c>
    </row>
    <row r="25" spans="1:22" ht="32.25" customHeight="1" x14ac:dyDescent="0.25">
      <c r="A25" s="104" t="s">
        <v>31</v>
      </c>
      <c r="B25" s="114"/>
      <c r="C25" s="51">
        <f t="shared" ref="C25:L25" si="8">C24/11</f>
        <v>6296.454545454545</v>
      </c>
      <c r="D25" s="51">
        <f t="shared" si="8"/>
        <v>5201.636363636364</v>
      </c>
      <c r="E25" s="51">
        <f t="shared" si="8"/>
        <v>1094.8181818181818</v>
      </c>
      <c r="F25" s="51">
        <f t="shared" si="8"/>
        <v>7344.272727272727</v>
      </c>
      <c r="G25" s="51">
        <f t="shared" si="8"/>
        <v>-1047.8181818181818</v>
      </c>
      <c r="H25" s="51">
        <f t="shared" si="8"/>
        <v>3270.4545454545455</v>
      </c>
      <c r="I25" s="51">
        <f t="shared" si="8"/>
        <v>2665.5454545454545</v>
      </c>
      <c r="J25" s="51">
        <f t="shared" si="8"/>
        <v>604.90909090909088</v>
      </c>
      <c r="K25" s="51">
        <f t="shared" si="8"/>
        <v>2791.909090909091</v>
      </c>
      <c r="L25" s="51">
        <f t="shared" si="8"/>
        <v>478.54545454545456</v>
      </c>
      <c r="M25" s="51">
        <f>M24/7</f>
        <v>2419.8571428571427</v>
      </c>
      <c r="N25" s="51">
        <f>N24/7</f>
        <v>1921.5714285714287</v>
      </c>
      <c r="O25" s="51">
        <f>O24/7</f>
        <v>498.28571428571428</v>
      </c>
      <c r="P25" s="51">
        <f>P24/7</f>
        <v>2838.2857142857142</v>
      </c>
      <c r="Q25" s="51">
        <f>Q24/7</f>
        <v>-203.85714285714286</v>
      </c>
      <c r="R25" s="51">
        <f>R24/8</f>
        <v>2043.375</v>
      </c>
      <c r="S25" s="51">
        <f>S24/8</f>
        <v>1805.75</v>
      </c>
      <c r="T25" s="51">
        <f>T24/8</f>
        <v>237.625</v>
      </c>
      <c r="U25" s="51">
        <f>U24/8</f>
        <v>3128.625</v>
      </c>
      <c r="V25" s="51">
        <f>V24/8</f>
        <v>-1085.25</v>
      </c>
    </row>
  </sheetData>
  <mergeCells count="23">
    <mergeCell ref="A25:B25"/>
    <mergeCell ref="A2:V2"/>
    <mergeCell ref="C4:E5"/>
    <mergeCell ref="H4:J5"/>
    <mergeCell ref="M4:O5"/>
    <mergeCell ref="R4:T5"/>
    <mergeCell ref="A16:B16"/>
    <mergeCell ref="A22:B22"/>
    <mergeCell ref="A7:V7"/>
    <mergeCell ref="A15:B15"/>
    <mergeCell ref="A17:V17"/>
    <mergeCell ref="A23:B23"/>
    <mergeCell ref="A24:B24"/>
    <mergeCell ref="V4:V6"/>
    <mergeCell ref="P4:P6"/>
    <mergeCell ref="Q4:Q6"/>
    <mergeCell ref="U4:U6"/>
    <mergeCell ref="A4:A6"/>
    <mergeCell ref="B4:B6"/>
    <mergeCell ref="F4:F6"/>
    <mergeCell ref="G4:G6"/>
    <mergeCell ref="K4:K6"/>
    <mergeCell ref="L4:L6"/>
  </mergeCells>
  <pageMargins left="0.70000000000000007" right="0.70000000000000007" top="0.75" bottom="0.75" header="0.30000000000000004" footer="0.3000000000000000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7"/>
  <sheetViews>
    <sheetView topLeftCell="B1" workbookViewId="0">
      <selection activeCell="W10" sqref="W10"/>
    </sheetView>
  </sheetViews>
  <sheetFormatPr defaultRowHeight="15" x14ac:dyDescent="0.25"/>
  <cols>
    <col min="1" max="1" width="4.5703125" customWidth="1"/>
    <col min="2" max="2" width="27.85546875" customWidth="1"/>
    <col min="3" max="3" width="8.85546875" customWidth="1"/>
    <col min="4" max="4" width="8" customWidth="1"/>
    <col min="5" max="5" width="8.140625" customWidth="1"/>
    <col min="6" max="6" width="9.85546875" customWidth="1"/>
    <col min="7" max="7" width="9" customWidth="1"/>
    <col min="8" max="8" width="8.42578125" customWidth="1"/>
    <col min="9" max="9" width="8.7109375" customWidth="1"/>
    <col min="10" max="10" width="9.7109375" customWidth="1"/>
    <col min="11" max="11" width="8.7109375" customWidth="1"/>
    <col min="12" max="12" width="8.28515625" customWidth="1"/>
    <col min="13" max="13" width="8.5703125" customWidth="1"/>
    <col min="14" max="14" width="9.7109375" customWidth="1"/>
    <col min="15" max="15" width="8.7109375" customWidth="1"/>
    <col min="16" max="17" width="8.5703125" customWidth="1"/>
    <col min="18" max="18" width="9.7109375" customWidth="1"/>
  </cols>
  <sheetData>
    <row r="2" spans="1:18" ht="15.75" x14ac:dyDescent="0.25">
      <c r="A2" s="137" t="s">
        <v>90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</row>
    <row r="4" spans="1:18" ht="20.25" customHeight="1" x14ac:dyDescent="0.25">
      <c r="A4" s="94" t="s">
        <v>0</v>
      </c>
      <c r="B4" s="94" t="s">
        <v>1</v>
      </c>
      <c r="C4" s="97" t="s">
        <v>47</v>
      </c>
      <c r="D4" s="98"/>
      <c r="E4" s="98"/>
      <c r="F4" s="99"/>
      <c r="G4" s="97" t="s">
        <v>3</v>
      </c>
      <c r="H4" s="98"/>
      <c r="I4" s="98"/>
      <c r="J4" s="98"/>
      <c r="K4" s="128" t="s">
        <v>45</v>
      </c>
      <c r="L4" s="129"/>
      <c r="M4" s="129"/>
      <c r="N4" s="126"/>
      <c r="O4" s="128" t="s">
        <v>46</v>
      </c>
      <c r="P4" s="129"/>
      <c r="Q4" s="129"/>
      <c r="R4" s="126"/>
    </row>
    <row r="5" spans="1:18" ht="15" hidden="1" customHeight="1" x14ac:dyDescent="0.25">
      <c r="A5" s="95"/>
      <c r="B5" s="95"/>
      <c r="C5" s="141"/>
      <c r="D5" s="142"/>
      <c r="E5" s="142"/>
      <c r="F5" s="143"/>
      <c r="G5" s="100"/>
      <c r="H5" s="101"/>
      <c r="I5" s="101"/>
      <c r="J5" s="101"/>
      <c r="K5" s="130"/>
      <c r="L5" s="131"/>
      <c r="M5" s="131"/>
      <c r="N5" s="127"/>
      <c r="O5" s="130"/>
      <c r="P5" s="131"/>
      <c r="Q5" s="131"/>
      <c r="R5" s="127"/>
    </row>
    <row r="6" spans="1:18" ht="15.75" customHeight="1" x14ac:dyDescent="0.25">
      <c r="A6" s="95"/>
      <c r="B6" s="141"/>
      <c r="C6" s="124" t="s">
        <v>91</v>
      </c>
      <c r="D6" s="138"/>
      <c r="E6" s="139" t="s">
        <v>79</v>
      </c>
      <c r="F6" s="111" t="s">
        <v>44</v>
      </c>
      <c r="G6" s="124" t="s">
        <v>91</v>
      </c>
      <c r="H6" s="138"/>
      <c r="I6" s="139" t="s">
        <v>79</v>
      </c>
      <c r="J6" s="111" t="s">
        <v>44</v>
      </c>
      <c r="K6" s="124" t="s">
        <v>91</v>
      </c>
      <c r="L6" s="125"/>
      <c r="M6" s="126" t="s">
        <v>79</v>
      </c>
      <c r="N6" s="111" t="s">
        <v>44</v>
      </c>
      <c r="O6" s="111" t="s">
        <v>91</v>
      </c>
      <c r="P6" s="111"/>
      <c r="Q6" s="111" t="s">
        <v>79</v>
      </c>
      <c r="R6" s="111" t="s">
        <v>44</v>
      </c>
    </row>
    <row r="7" spans="1:18" ht="15.75" x14ac:dyDescent="0.25">
      <c r="A7" s="96"/>
      <c r="B7" s="96"/>
      <c r="C7" s="11" t="s">
        <v>42</v>
      </c>
      <c r="D7" s="19" t="s">
        <v>43</v>
      </c>
      <c r="E7" s="140"/>
      <c r="F7" s="111"/>
      <c r="G7" s="11" t="s">
        <v>42</v>
      </c>
      <c r="H7" s="19" t="s">
        <v>43</v>
      </c>
      <c r="I7" s="140"/>
      <c r="J7" s="111"/>
      <c r="K7" s="19" t="s">
        <v>42</v>
      </c>
      <c r="L7" s="12" t="s">
        <v>43</v>
      </c>
      <c r="M7" s="127"/>
      <c r="N7" s="111"/>
      <c r="O7" s="12" t="s">
        <v>42</v>
      </c>
      <c r="P7" s="12" t="s">
        <v>43</v>
      </c>
      <c r="Q7" s="111"/>
      <c r="R7" s="111"/>
    </row>
    <row r="8" spans="1:18" ht="15.75" x14ac:dyDescent="0.25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6"/>
    </row>
    <row r="9" spans="1:18" ht="15" customHeight="1" x14ac:dyDescent="0.25">
      <c r="A9" s="15" t="s">
        <v>8</v>
      </c>
      <c r="B9" s="18" t="s">
        <v>9</v>
      </c>
      <c r="C9" s="15">
        <v>5310</v>
      </c>
      <c r="D9" s="71">
        <f>C9/21388*100</f>
        <v>24.82700579764354</v>
      </c>
      <c r="E9" s="15">
        <v>5061</v>
      </c>
      <c r="F9" s="16">
        <f t="shared" ref="F9:F15" si="0">C9-E9</f>
        <v>249</v>
      </c>
      <c r="G9" s="45">
        <v>1228</v>
      </c>
      <c r="H9" s="20">
        <f>G9/6027*100</f>
        <v>20.374979259996682</v>
      </c>
      <c r="I9" s="45">
        <v>715</v>
      </c>
      <c r="J9" s="45">
        <f t="shared" ref="J9:J15" si="1">G9-I9</f>
        <v>513</v>
      </c>
      <c r="K9" s="45">
        <f>3157+925</f>
        <v>4082</v>
      </c>
      <c r="L9" s="20">
        <f>K9/13891*100</f>
        <v>29.385933338132602</v>
      </c>
      <c r="M9" s="45">
        <v>3584</v>
      </c>
      <c r="N9" s="62">
        <f>K9-M9</f>
        <v>498</v>
      </c>
      <c r="O9" s="77" t="s">
        <v>11</v>
      </c>
      <c r="P9" s="78" t="s">
        <v>11</v>
      </c>
      <c r="Q9" s="56" t="s">
        <v>11</v>
      </c>
      <c r="R9" s="77" t="s">
        <v>11</v>
      </c>
    </row>
    <row r="10" spans="1:18" ht="14.25" customHeight="1" x14ac:dyDescent="0.25">
      <c r="A10" s="15" t="s">
        <v>12</v>
      </c>
      <c r="B10" s="18" t="s">
        <v>13</v>
      </c>
      <c r="C10" s="15">
        <v>3354</v>
      </c>
      <c r="D10" s="20">
        <f>C10/10143*100</f>
        <v>33.067139899438033</v>
      </c>
      <c r="E10" s="15">
        <v>4040</v>
      </c>
      <c r="F10" s="16">
        <f t="shared" si="0"/>
        <v>-686</v>
      </c>
      <c r="G10" s="45">
        <v>1023</v>
      </c>
      <c r="H10" s="20">
        <f>G10/2745*100</f>
        <v>37.267759562841526</v>
      </c>
      <c r="I10" s="45">
        <v>1578</v>
      </c>
      <c r="J10" s="45">
        <f t="shared" si="1"/>
        <v>-555</v>
      </c>
      <c r="K10" s="45">
        <v>261</v>
      </c>
      <c r="L10" s="20">
        <f>K10/654*100</f>
        <v>39.908256880733944</v>
      </c>
      <c r="M10" s="45">
        <v>278</v>
      </c>
      <c r="N10" s="62">
        <f>K10-M10</f>
        <v>-17</v>
      </c>
      <c r="O10" s="62">
        <v>2070</v>
      </c>
      <c r="P10" s="78">
        <f>O10/6744*100</f>
        <v>30.693950177935942</v>
      </c>
      <c r="Q10" s="55">
        <v>2184</v>
      </c>
      <c r="R10" s="62">
        <v>2385</v>
      </c>
    </row>
    <row r="11" spans="1:18" ht="15" customHeight="1" x14ac:dyDescent="0.25">
      <c r="A11" s="15" t="s">
        <v>14</v>
      </c>
      <c r="B11" s="18" t="s">
        <v>15</v>
      </c>
      <c r="C11" s="15">
        <v>2013</v>
      </c>
      <c r="D11" s="20">
        <f>C11/5394*100</f>
        <v>37.319243604004448</v>
      </c>
      <c r="E11" s="15">
        <v>2417</v>
      </c>
      <c r="F11" s="16">
        <f t="shared" si="0"/>
        <v>-404</v>
      </c>
      <c r="G11" s="45">
        <v>2013</v>
      </c>
      <c r="H11" s="20">
        <f>G11/5394*100</f>
        <v>37.319243604004448</v>
      </c>
      <c r="I11" s="45">
        <v>1327</v>
      </c>
      <c r="J11" s="45">
        <f t="shared" si="1"/>
        <v>686</v>
      </c>
      <c r="K11" s="45">
        <v>0</v>
      </c>
      <c r="L11" s="45">
        <v>0</v>
      </c>
      <c r="M11" s="45">
        <v>149</v>
      </c>
      <c r="N11" s="45">
        <v>0</v>
      </c>
      <c r="O11" s="45">
        <v>0</v>
      </c>
      <c r="P11" s="45">
        <v>0</v>
      </c>
      <c r="Q11" s="55">
        <v>941</v>
      </c>
      <c r="R11" s="62">
        <v>0</v>
      </c>
    </row>
    <row r="12" spans="1:18" ht="14.25" customHeight="1" x14ac:dyDescent="0.25">
      <c r="A12" s="15" t="s">
        <v>16</v>
      </c>
      <c r="B12" s="18" t="s">
        <v>17</v>
      </c>
      <c r="C12" s="15">
        <v>95</v>
      </c>
      <c r="D12" s="20">
        <f>C12/1267*100</f>
        <v>7.4980268350434098</v>
      </c>
      <c r="E12" s="15">
        <v>96</v>
      </c>
      <c r="F12" s="16">
        <f t="shared" si="0"/>
        <v>-1</v>
      </c>
      <c r="G12" s="45">
        <v>72</v>
      </c>
      <c r="H12" s="20">
        <f>G12/704*100</f>
        <v>10.227272727272728</v>
      </c>
      <c r="I12" s="45">
        <v>72</v>
      </c>
      <c r="J12" s="45">
        <f t="shared" si="1"/>
        <v>0</v>
      </c>
      <c r="K12" s="45">
        <v>23</v>
      </c>
      <c r="L12" s="20">
        <f>K12/563*100</f>
        <v>4.0852575488454708</v>
      </c>
      <c r="M12" s="45">
        <v>24</v>
      </c>
      <c r="N12" s="62">
        <f>K12-M12</f>
        <v>-1</v>
      </c>
      <c r="O12" s="62" t="s">
        <v>11</v>
      </c>
      <c r="P12" s="78" t="s">
        <v>11</v>
      </c>
      <c r="Q12" s="55" t="s">
        <v>11</v>
      </c>
      <c r="R12" s="62" t="s">
        <v>11</v>
      </c>
    </row>
    <row r="13" spans="1:18" ht="15" customHeight="1" x14ac:dyDescent="0.25">
      <c r="A13" s="15" t="s">
        <v>18</v>
      </c>
      <c r="B13" s="18" t="s">
        <v>19</v>
      </c>
      <c r="C13" s="15">
        <v>920</v>
      </c>
      <c r="D13" s="71">
        <f>C13/4382*100</f>
        <v>20.994979461433136</v>
      </c>
      <c r="E13" s="15">
        <v>1075</v>
      </c>
      <c r="F13" s="16">
        <f t="shared" si="0"/>
        <v>-155</v>
      </c>
      <c r="G13" s="45">
        <v>920</v>
      </c>
      <c r="H13" s="20">
        <f>G13/4382*100</f>
        <v>20.994979461433136</v>
      </c>
      <c r="I13" s="45">
        <v>1075</v>
      </c>
      <c r="J13" s="45">
        <f t="shared" si="1"/>
        <v>-155</v>
      </c>
      <c r="K13" s="45" t="s">
        <v>11</v>
      </c>
      <c r="L13" s="20" t="s">
        <v>11</v>
      </c>
      <c r="M13" s="45" t="s">
        <v>11</v>
      </c>
      <c r="N13" s="77" t="s">
        <v>11</v>
      </c>
      <c r="O13" s="62" t="s">
        <v>11</v>
      </c>
      <c r="P13" s="78" t="s">
        <v>11</v>
      </c>
      <c r="Q13" s="55" t="s">
        <v>11</v>
      </c>
      <c r="R13" s="62" t="s">
        <v>11</v>
      </c>
    </row>
    <row r="14" spans="1:18" ht="15" customHeight="1" x14ac:dyDescent="0.25">
      <c r="A14" s="15" t="s">
        <v>20</v>
      </c>
      <c r="B14" s="18" t="s">
        <v>21</v>
      </c>
      <c r="C14" s="15">
        <v>873</v>
      </c>
      <c r="D14" s="20">
        <f>C14/3770*100</f>
        <v>23.156498673740053</v>
      </c>
      <c r="E14" s="15">
        <v>1007</v>
      </c>
      <c r="F14" s="16">
        <f t="shared" si="0"/>
        <v>-134</v>
      </c>
      <c r="G14" s="45">
        <v>324</v>
      </c>
      <c r="H14" s="20">
        <f>G14/1158*100</f>
        <v>27.979274611398964</v>
      </c>
      <c r="I14" s="45">
        <v>477</v>
      </c>
      <c r="J14" s="45">
        <f t="shared" si="1"/>
        <v>-153</v>
      </c>
      <c r="K14" s="45">
        <v>8</v>
      </c>
      <c r="L14" s="20">
        <f>K14/172*100</f>
        <v>4.6511627906976747</v>
      </c>
      <c r="M14" s="45">
        <v>8</v>
      </c>
      <c r="N14" s="62">
        <f>K14-M14</f>
        <v>0</v>
      </c>
      <c r="O14" s="62">
        <v>541</v>
      </c>
      <c r="P14" s="78">
        <f>O14/2440*100</f>
        <v>22.172131147540984</v>
      </c>
      <c r="Q14" s="62">
        <v>522</v>
      </c>
      <c r="R14" s="62">
        <v>573</v>
      </c>
    </row>
    <row r="15" spans="1:18" ht="15.75" x14ac:dyDescent="0.25">
      <c r="A15" s="15" t="s">
        <v>22</v>
      </c>
      <c r="B15" s="18" t="s">
        <v>23</v>
      </c>
      <c r="C15" s="15">
        <v>1484</v>
      </c>
      <c r="D15" s="20">
        <f>C15/5162*100</f>
        <v>28.748547074777221</v>
      </c>
      <c r="E15" s="15">
        <v>2586</v>
      </c>
      <c r="F15" s="16">
        <f t="shared" si="0"/>
        <v>-1102</v>
      </c>
      <c r="G15" s="45">
        <v>1484</v>
      </c>
      <c r="H15" s="20">
        <f>G15/5162*100</f>
        <v>28.748547074777221</v>
      </c>
      <c r="I15" s="45">
        <v>1007</v>
      </c>
      <c r="J15" s="45">
        <f t="shared" si="1"/>
        <v>477</v>
      </c>
      <c r="K15" s="45" t="s">
        <v>11</v>
      </c>
      <c r="L15" s="20" t="s">
        <v>11</v>
      </c>
      <c r="M15" s="45" t="s">
        <v>11</v>
      </c>
      <c r="N15" s="77" t="s">
        <v>11</v>
      </c>
      <c r="O15" s="62">
        <v>0</v>
      </c>
      <c r="P15" s="78">
        <f>O15/5179*100</f>
        <v>0</v>
      </c>
      <c r="Q15" s="55">
        <v>1579</v>
      </c>
      <c r="R15" s="62">
        <v>1788</v>
      </c>
    </row>
    <row r="16" spans="1:18" ht="15.75" x14ac:dyDescent="0.25">
      <c r="A16" s="108" t="s">
        <v>30</v>
      </c>
      <c r="B16" s="109"/>
      <c r="C16" s="48">
        <f t="shared" ref="C16:R16" si="2">SUM(C9:C15)</f>
        <v>14049</v>
      </c>
      <c r="D16" s="39">
        <f t="shared" si="2"/>
        <v>175.6114413460798</v>
      </c>
      <c r="E16" s="54">
        <f t="shared" si="2"/>
        <v>16282</v>
      </c>
      <c r="F16" s="54">
        <f t="shared" si="2"/>
        <v>-2233</v>
      </c>
      <c r="G16" s="21">
        <f t="shared" si="2"/>
        <v>7064</v>
      </c>
      <c r="H16" s="39">
        <f t="shared" si="2"/>
        <v>182.9120563017247</v>
      </c>
      <c r="I16" s="21">
        <f t="shared" si="2"/>
        <v>6251</v>
      </c>
      <c r="J16" s="21">
        <f t="shared" si="2"/>
        <v>813</v>
      </c>
      <c r="K16" s="21">
        <f t="shared" si="2"/>
        <v>4374</v>
      </c>
      <c r="L16" s="39">
        <f t="shared" si="2"/>
        <v>78.030610558409691</v>
      </c>
      <c r="M16" s="57">
        <f t="shared" si="2"/>
        <v>4043</v>
      </c>
      <c r="N16" s="58">
        <f t="shared" si="2"/>
        <v>480</v>
      </c>
      <c r="O16" s="58">
        <f t="shared" si="2"/>
        <v>2611</v>
      </c>
      <c r="P16" s="72">
        <f t="shared" si="2"/>
        <v>52.866081325476927</v>
      </c>
      <c r="Q16" s="59">
        <f t="shared" si="2"/>
        <v>5226</v>
      </c>
      <c r="R16" s="58">
        <f t="shared" si="2"/>
        <v>4746</v>
      </c>
    </row>
    <row r="17" spans="1:18" ht="15.75" x14ac:dyDescent="0.25">
      <c r="A17" s="132" t="s">
        <v>32</v>
      </c>
      <c r="B17" s="133"/>
      <c r="C17" s="49">
        <f t="shared" ref="C17:J17" si="3">C16/7</f>
        <v>2007</v>
      </c>
      <c r="D17" s="39">
        <f t="shared" si="3"/>
        <v>25.087348763725686</v>
      </c>
      <c r="E17" s="21">
        <f t="shared" si="3"/>
        <v>2326</v>
      </c>
      <c r="F17" s="21">
        <f t="shared" si="3"/>
        <v>-319</v>
      </c>
      <c r="G17" s="21">
        <f t="shared" si="3"/>
        <v>1009.1428571428571</v>
      </c>
      <c r="H17" s="39">
        <f t="shared" si="3"/>
        <v>26.130293757389243</v>
      </c>
      <c r="I17" s="21">
        <f t="shared" si="3"/>
        <v>893</v>
      </c>
      <c r="J17" s="21">
        <f t="shared" si="3"/>
        <v>116.14285714285714</v>
      </c>
      <c r="K17" s="21">
        <f>K16/5</f>
        <v>874.8</v>
      </c>
      <c r="L17" s="39">
        <f>L16/5</f>
        <v>15.606122111681938</v>
      </c>
      <c r="M17" s="57">
        <f>M16/5</f>
        <v>808.6</v>
      </c>
      <c r="N17" s="59">
        <f>N16/5</f>
        <v>96</v>
      </c>
      <c r="O17" s="58">
        <f>O16/4</f>
        <v>652.75</v>
      </c>
      <c r="P17" s="72">
        <f>P16/4</f>
        <v>13.216520331369232</v>
      </c>
      <c r="Q17" s="59">
        <f>Q16/4</f>
        <v>1306.5</v>
      </c>
      <c r="R17" s="58">
        <f>R16/4</f>
        <v>1186.5</v>
      </c>
    </row>
    <row r="18" spans="1:18" ht="15.75" x14ac:dyDescent="0.25">
      <c r="A18" s="134" t="s">
        <v>24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6"/>
    </row>
    <row r="19" spans="1:18" ht="15" customHeight="1" x14ac:dyDescent="0.25">
      <c r="A19" s="15" t="s">
        <v>8</v>
      </c>
      <c r="B19" s="18" t="s">
        <v>25</v>
      </c>
      <c r="C19" s="15">
        <v>1214</v>
      </c>
      <c r="D19" s="20">
        <f>C19/7110*100</f>
        <v>17.074542897327706</v>
      </c>
      <c r="E19" s="15">
        <v>1282</v>
      </c>
      <c r="F19" s="16">
        <f>C19-E19</f>
        <v>-68</v>
      </c>
      <c r="G19" s="45">
        <v>396</v>
      </c>
      <c r="H19" s="20">
        <f>G19/3589*100</f>
        <v>11.033714126497632</v>
      </c>
      <c r="I19" s="45">
        <v>407</v>
      </c>
      <c r="J19" s="45">
        <f>G19-I19</f>
        <v>-11</v>
      </c>
      <c r="K19" s="45">
        <v>53</v>
      </c>
      <c r="L19" s="20">
        <f>K19/189*100</f>
        <v>28.042328042328041</v>
      </c>
      <c r="M19" s="45">
        <v>73</v>
      </c>
      <c r="N19" s="45">
        <f>K19-M19</f>
        <v>-20</v>
      </c>
      <c r="O19" s="62">
        <v>765</v>
      </c>
      <c r="P19" s="78">
        <f>O19/3332*100</f>
        <v>22.95918367346939</v>
      </c>
      <c r="Q19" s="55">
        <v>802</v>
      </c>
      <c r="R19" s="62">
        <v>944</v>
      </c>
    </row>
    <row r="20" spans="1:18" ht="15.75" customHeight="1" x14ac:dyDescent="0.25">
      <c r="A20" s="15" t="s">
        <v>12</v>
      </c>
      <c r="B20" s="18" t="s">
        <v>26</v>
      </c>
      <c r="C20" s="15">
        <v>251</v>
      </c>
      <c r="D20" s="20">
        <f>C20/947*100</f>
        <v>26.504751847940867</v>
      </c>
      <c r="E20" s="15">
        <v>425</v>
      </c>
      <c r="F20" s="16">
        <f>C20-E20</f>
        <v>-174</v>
      </c>
      <c r="G20" s="45">
        <v>0</v>
      </c>
      <c r="H20" s="45">
        <v>0</v>
      </c>
      <c r="I20" s="45">
        <v>146</v>
      </c>
      <c r="J20" s="45">
        <v>0</v>
      </c>
      <c r="K20" s="45" t="s">
        <v>11</v>
      </c>
      <c r="L20" s="20" t="s">
        <v>11</v>
      </c>
      <c r="M20" s="45" t="s">
        <v>11</v>
      </c>
      <c r="N20" s="45" t="s">
        <v>11</v>
      </c>
      <c r="O20" s="62">
        <v>251</v>
      </c>
      <c r="P20" s="78">
        <f>O20/947*100</f>
        <v>26.504751847940867</v>
      </c>
      <c r="Q20" s="55">
        <v>279</v>
      </c>
      <c r="R20" s="62">
        <v>361</v>
      </c>
    </row>
    <row r="21" spans="1:18" ht="15.75" x14ac:dyDescent="0.25">
      <c r="A21" s="15" t="s">
        <v>14</v>
      </c>
      <c r="B21" s="18" t="s">
        <v>27</v>
      </c>
      <c r="C21" s="15">
        <v>1349</v>
      </c>
      <c r="D21" s="20">
        <f>C21/4276*100</f>
        <v>31.54817586529467</v>
      </c>
      <c r="E21" s="15">
        <v>1601</v>
      </c>
      <c r="F21" s="16">
        <f>C21-E21</f>
        <v>-252</v>
      </c>
      <c r="G21" s="45">
        <v>547</v>
      </c>
      <c r="H21" s="20">
        <f>G21/1392*100</f>
        <v>39.295977011494251</v>
      </c>
      <c r="I21" s="45">
        <v>590</v>
      </c>
      <c r="J21" s="45">
        <f>G21-I21</f>
        <v>-43</v>
      </c>
      <c r="K21" s="45" t="s">
        <v>11</v>
      </c>
      <c r="L21" s="20" t="s">
        <v>11</v>
      </c>
      <c r="M21" s="45" t="s">
        <v>11</v>
      </c>
      <c r="N21" s="45" t="s">
        <v>11</v>
      </c>
      <c r="O21" s="62">
        <v>802</v>
      </c>
      <c r="P21" s="78">
        <f>O21/2884*100</f>
        <v>27.808599167822468</v>
      </c>
      <c r="Q21" s="55">
        <v>1011</v>
      </c>
      <c r="R21" s="62">
        <v>1256</v>
      </c>
    </row>
    <row r="22" spans="1:18" ht="14.25" customHeight="1" x14ac:dyDescent="0.25">
      <c r="A22" s="15" t="s">
        <v>16</v>
      </c>
      <c r="B22" s="18" t="s">
        <v>28</v>
      </c>
      <c r="C22" s="15">
        <v>1058</v>
      </c>
      <c r="D22" s="20">
        <f>C22/5422*100</f>
        <v>19.51309479896717</v>
      </c>
      <c r="E22" s="15">
        <v>2540</v>
      </c>
      <c r="F22" s="16">
        <f>C22-E22</f>
        <v>-1482</v>
      </c>
      <c r="G22" s="45">
        <v>1058</v>
      </c>
      <c r="H22" s="20">
        <f>G22/5422*100</f>
        <v>19.51309479896717</v>
      </c>
      <c r="I22" s="45">
        <v>1067</v>
      </c>
      <c r="J22" s="45">
        <f>G22-I22</f>
        <v>-9</v>
      </c>
      <c r="K22" s="45">
        <v>0</v>
      </c>
      <c r="L22" s="20">
        <v>0</v>
      </c>
      <c r="M22" s="45">
        <v>380</v>
      </c>
      <c r="N22" s="45">
        <f>K22-M22</f>
        <v>-380</v>
      </c>
      <c r="O22" s="45">
        <v>0</v>
      </c>
      <c r="P22" s="45">
        <v>0</v>
      </c>
      <c r="Q22" s="55">
        <v>1093</v>
      </c>
      <c r="R22" s="62">
        <v>1222</v>
      </c>
    </row>
    <row r="23" spans="1:18" ht="15.75" x14ac:dyDescent="0.25">
      <c r="A23" s="108" t="s">
        <v>30</v>
      </c>
      <c r="B23" s="109"/>
      <c r="C23" s="48">
        <f t="shared" ref="C23:R23" si="4">SUM(C19:C22)</f>
        <v>3872</v>
      </c>
      <c r="D23" s="39">
        <f t="shared" si="4"/>
        <v>94.64056540953041</v>
      </c>
      <c r="E23" s="54">
        <f t="shared" si="4"/>
        <v>5848</v>
      </c>
      <c r="F23" s="54">
        <f t="shared" si="4"/>
        <v>-1976</v>
      </c>
      <c r="G23" s="21">
        <f t="shared" si="4"/>
        <v>2001</v>
      </c>
      <c r="H23" s="21">
        <f t="shared" si="4"/>
        <v>69.842785936959061</v>
      </c>
      <c r="I23" s="21">
        <f t="shared" si="4"/>
        <v>2210</v>
      </c>
      <c r="J23" s="21">
        <f t="shared" si="4"/>
        <v>-63</v>
      </c>
      <c r="K23" s="21">
        <f t="shared" si="4"/>
        <v>53</v>
      </c>
      <c r="L23" s="39">
        <f t="shared" si="4"/>
        <v>28.042328042328041</v>
      </c>
      <c r="M23" s="57">
        <f t="shared" si="4"/>
        <v>453</v>
      </c>
      <c r="N23" s="21">
        <f t="shared" si="4"/>
        <v>-400</v>
      </c>
      <c r="O23" s="58">
        <f>SUM(O19:O22)</f>
        <v>1818</v>
      </c>
      <c r="P23" s="72">
        <f t="shared" si="4"/>
        <v>77.272534689232728</v>
      </c>
      <c r="Q23" s="58">
        <f t="shared" si="4"/>
        <v>3185</v>
      </c>
      <c r="R23" s="58">
        <f t="shared" si="4"/>
        <v>3783</v>
      </c>
    </row>
    <row r="24" spans="1:18" ht="15.75" x14ac:dyDescent="0.25">
      <c r="A24" s="132" t="s">
        <v>32</v>
      </c>
      <c r="B24" s="133"/>
      <c r="C24" s="49">
        <f t="shared" ref="C24:J24" si="5">C23/4</f>
        <v>968</v>
      </c>
      <c r="D24" s="39">
        <f t="shared" si="5"/>
        <v>23.660141352382603</v>
      </c>
      <c r="E24" s="21">
        <f t="shared" si="5"/>
        <v>1462</v>
      </c>
      <c r="F24" s="21">
        <f t="shared" si="5"/>
        <v>-494</v>
      </c>
      <c r="G24" s="21">
        <f t="shared" si="5"/>
        <v>500.25</v>
      </c>
      <c r="H24" s="21">
        <f t="shared" si="5"/>
        <v>17.460696484239765</v>
      </c>
      <c r="I24" s="21">
        <f t="shared" si="5"/>
        <v>552.5</v>
      </c>
      <c r="J24" s="21">
        <f t="shared" si="5"/>
        <v>-15.75</v>
      </c>
      <c r="K24" s="21">
        <f>K23/2</f>
        <v>26.5</v>
      </c>
      <c r="L24" s="39">
        <f>L23/2</f>
        <v>14.02116402116402</v>
      </c>
      <c r="M24" s="57">
        <f>M23/2</f>
        <v>226.5</v>
      </c>
      <c r="N24" s="21">
        <f>N23/2</f>
        <v>-200</v>
      </c>
      <c r="O24" s="58">
        <f>O23/4</f>
        <v>454.5</v>
      </c>
      <c r="P24" s="72">
        <f>P23/4</f>
        <v>19.318133672308182</v>
      </c>
      <c r="Q24" s="58">
        <f>Q23/4</f>
        <v>796.25</v>
      </c>
      <c r="R24" s="58">
        <f>R23/4</f>
        <v>945.75</v>
      </c>
    </row>
    <row r="25" spans="1:18" ht="27.75" customHeight="1" x14ac:dyDescent="0.25">
      <c r="A25" s="104" t="s">
        <v>29</v>
      </c>
      <c r="B25" s="105"/>
      <c r="C25" s="50">
        <f t="shared" ref="C25:R25" si="6">SUM(C16,C23)</f>
        <v>17921</v>
      </c>
      <c r="D25" s="65">
        <f t="shared" si="6"/>
        <v>270.25200675561018</v>
      </c>
      <c r="E25" s="50">
        <f t="shared" si="6"/>
        <v>22130</v>
      </c>
      <c r="F25" s="50">
        <f t="shared" si="6"/>
        <v>-4209</v>
      </c>
      <c r="G25" s="51">
        <f t="shared" si="6"/>
        <v>9065</v>
      </c>
      <c r="H25" s="65">
        <f t="shared" si="6"/>
        <v>252.75484223868375</v>
      </c>
      <c r="I25" s="51">
        <f t="shared" si="6"/>
        <v>8461</v>
      </c>
      <c r="J25" s="51">
        <f t="shared" si="6"/>
        <v>750</v>
      </c>
      <c r="K25" s="51">
        <f t="shared" si="6"/>
        <v>4427</v>
      </c>
      <c r="L25" s="65">
        <f t="shared" si="6"/>
        <v>106.07293860073773</v>
      </c>
      <c r="M25" s="60">
        <f t="shared" si="6"/>
        <v>4496</v>
      </c>
      <c r="N25" s="51">
        <f t="shared" si="6"/>
        <v>80</v>
      </c>
      <c r="O25" s="61">
        <f t="shared" si="6"/>
        <v>4429</v>
      </c>
      <c r="P25" s="73">
        <f t="shared" si="6"/>
        <v>130.13861601470967</v>
      </c>
      <c r="Q25" s="61">
        <f t="shared" si="6"/>
        <v>8411</v>
      </c>
      <c r="R25" s="61">
        <f t="shared" si="6"/>
        <v>8529</v>
      </c>
    </row>
    <row r="26" spans="1:18" ht="34.5" customHeight="1" x14ac:dyDescent="0.25">
      <c r="A26" s="104" t="s">
        <v>31</v>
      </c>
      <c r="B26" s="105"/>
      <c r="C26" s="51">
        <f t="shared" ref="C26:J26" si="7">C25/11</f>
        <v>1629.1818181818182</v>
      </c>
      <c r="D26" s="65">
        <f t="shared" si="7"/>
        <v>24.568364250510015</v>
      </c>
      <c r="E26" s="51">
        <f t="shared" si="7"/>
        <v>2011.8181818181818</v>
      </c>
      <c r="F26" s="51">
        <f t="shared" si="7"/>
        <v>-382.63636363636363</v>
      </c>
      <c r="G26" s="51">
        <f t="shared" si="7"/>
        <v>824.09090909090912</v>
      </c>
      <c r="H26" s="65">
        <f t="shared" si="7"/>
        <v>22.977712930789433</v>
      </c>
      <c r="I26" s="51">
        <f t="shared" si="7"/>
        <v>769.18181818181813</v>
      </c>
      <c r="J26" s="51">
        <f t="shared" si="7"/>
        <v>68.181818181818187</v>
      </c>
      <c r="K26" s="51">
        <f>K25/7</f>
        <v>632.42857142857144</v>
      </c>
      <c r="L26" s="65">
        <f>L25/7</f>
        <v>15.153276942962533</v>
      </c>
      <c r="M26" s="60">
        <f>M25/7</f>
        <v>642.28571428571433</v>
      </c>
      <c r="N26" s="51">
        <f>N25/7</f>
        <v>11.428571428571429</v>
      </c>
      <c r="O26" s="61">
        <f>O25/8</f>
        <v>553.625</v>
      </c>
      <c r="P26" s="73">
        <f>P25/8</f>
        <v>16.267327001838709</v>
      </c>
      <c r="Q26" s="61">
        <f>Q25/8</f>
        <v>1051.375</v>
      </c>
      <c r="R26" s="61">
        <f>R25/8</f>
        <v>1066.125</v>
      </c>
    </row>
    <row r="27" spans="1:18" ht="15.75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</row>
  </sheetData>
  <mergeCells count="27">
    <mergeCell ref="A2:R2"/>
    <mergeCell ref="A16:B16"/>
    <mergeCell ref="A17:B17"/>
    <mergeCell ref="C6:D6"/>
    <mergeCell ref="E6:E7"/>
    <mergeCell ref="F6:F7"/>
    <mergeCell ref="A4:A7"/>
    <mergeCell ref="B4:B7"/>
    <mergeCell ref="C4:F5"/>
    <mergeCell ref="O4:R5"/>
    <mergeCell ref="O6:P6"/>
    <mergeCell ref="Q6:Q7"/>
    <mergeCell ref="R6:R7"/>
    <mergeCell ref="A8:R8"/>
    <mergeCell ref="G6:H6"/>
    <mergeCell ref="I6:I7"/>
    <mergeCell ref="A23:B23"/>
    <mergeCell ref="A24:B24"/>
    <mergeCell ref="A25:B25"/>
    <mergeCell ref="A26:B26"/>
    <mergeCell ref="A18:R18"/>
    <mergeCell ref="J6:J7"/>
    <mergeCell ref="K6:L6"/>
    <mergeCell ref="M6:M7"/>
    <mergeCell ref="N6:N7"/>
    <mergeCell ref="K4:N5"/>
    <mergeCell ref="G4:J5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Q25"/>
  <sheetViews>
    <sheetView workbookViewId="0">
      <selection activeCell="T45" sqref="T45"/>
    </sheetView>
  </sheetViews>
  <sheetFormatPr defaultRowHeight="15" x14ac:dyDescent="0.25"/>
  <cols>
    <col min="1" max="1" width="5.28515625" customWidth="1"/>
    <col min="2" max="2" width="27.28515625" customWidth="1"/>
    <col min="3" max="3" width="23.85546875" customWidth="1"/>
    <col min="4" max="4" width="12.7109375" customWidth="1"/>
    <col min="5" max="5" width="18.140625" customWidth="1"/>
    <col min="6" max="6" width="9.5703125" customWidth="1"/>
    <col min="7" max="7" width="9.7109375" customWidth="1"/>
    <col min="8" max="8" width="7.85546875" customWidth="1"/>
    <col min="9" max="9" width="8.7109375" customWidth="1"/>
    <col min="10" max="10" width="9" customWidth="1"/>
    <col min="11" max="11" width="9.85546875" customWidth="1"/>
    <col min="12" max="13" width="8.42578125" customWidth="1"/>
    <col min="14" max="14" width="9.7109375" customWidth="1"/>
    <col min="15" max="15" width="8.85546875" customWidth="1"/>
    <col min="16" max="16" width="8.7109375" customWidth="1"/>
    <col min="17" max="17" width="9.7109375" customWidth="1"/>
  </cols>
  <sheetData>
    <row r="2" spans="1:17" ht="15.75" x14ac:dyDescent="0.25">
      <c r="A2" s="144" t="s">
        <v>92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</row>
    <row r="4" spans="1:17" ht="17.25" customHeight="1" x14ac:dyDescent="0.25">
      <c r="A4" s="97" t="s">
        <v>0</v>
      </c>
      <c r="B4" s="139" t="s">
        <v>1</v>
      </c>
      <c r="C4" s="98" t="s">
        <v>94</v>
      </c>
      <c r="D4" s="128" t="s">
        <v>47</v>
      </c>
      <c r="E4" s="129"/>
      <c r="F4" s="129"/>
      <c r="G4" s="129"/>
      <c r="H4" s="126"/>
      <c r="I4" s="128" t="s">
        <v>3</v>
      </c>
      <c r="J4" s="129"/>
      <c r="K4" s="126"/>
      <c r="L4" s="128" t="s">
        <v>45</v>
      </c>
      <c r="M4" s="129"/>
      <c r="N4" s="126"/>
      <c r="O4" s="128" t="s">
        <v>46</v>
      </c>
      <c r="P4" s="129"/>
      <c r="Q4" s="126"/>
    </row>
    <row r="5" spans="1:17" ht="15.75" customHeight="1" x14ac:dyDescent="0.25">
      <c r="A5" s="141"/>
      <c r="B5" s="145"/>
      <c r="C5" s="142"/>
      <c r="D5" s="139" t="s">
        <v>93</v>
      </c>
      <c r="E5" s="139" t="s">
        <v>48</v>
      </c>
      <c r="F5" s="139" t="s">
        <v>79</v>
      </c>
      <c r="G5" s="139" t="s">
        <v>49</v>
      </c>
      <c r="H5" s="139" t="s">
        <v>43</v>
      </c>
      <c r="I5" s="139" t="s">
        <v>91</v>
      </c>
      <c r="J5" s="139" t="s">
        <v>79</v>
      </c>
      <c r="K5" s="139" t="s">
        <v>49</v>
      </c>
      <c r="L5" s="139" t="s">
        <v>91</v>
      </c>
      <c r="M5" s="139" t="s">
        <v>79</v>
      </c>
      <c r="N5" s="139" t="s">
        <v>49</v>
      </c>
      <c r="O5" s="139" t="s">
        <v>91</v>
      </c>
      <c r="P5" s="139" t="s">
        <v>79</v>
      </c>
      <c r="Q5" s="139" t="s">
        <v>49</v>
      </c>
    </row>
    <row r="6" spans="1:17" ht="29.25" customHeight="1" x14ac:dyDescent="0.25">
      <c r="A6" s="146"/>
      <c r="B6" s="140"/>
      <c r="C6" s="131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</row>
    <row r="7" spans="1:17" ht="15.75" x14ac:dyDescent="0.25">
      <c r="A7" s="134" t="s">
        <v>7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23"/>
      <c r="M7" s="23"/>
      <c r="N7" s="23"/>
      <c r="O7" s="23"/>
      <c r="P7" s="23"/>
      <c r="Q7" s="23"/>
    </row>
    <row r="8" spans="1:17" ht="15.95" customHeight="1" x14ac:dyDescent="0.25">
      <c r="A8" s="15" t="s">
        <v>8</v>
      </c>
      <c r="B8" s="18" t="s">
        <v>9</v>
      </c>
      <c r="C8" s="3">
        <v>149056</v>
      </c>
      <c r="D8" s="45">
        <v>282443</v>
      </c>
      <c r="E8" s="69">
        <f t="shared" ref="E8:E14" si="0">D8/C8</f>
        <v>1.8948784349506227</v>
      </c>
      <c r="F8" s="45">
        <v>360313</v>
      </c>
      <c r="G8" s="45">
        <f t="shared" ref="G8:G14" si="1">D8-F8</f>
        <v>-77870</v>
      </c>
      <c r="H8" s="20">
        <f t="shared" ref="H8:H14" si="2">G8/D8*100</f>
        <v>-27.570164599582924</v>
      </c>
      <c r="I8" s="45">
        <v>88242</v>
      </c>
      <c r="J8" s="45">
        <v>94834</v>
      </c>
      <c r="K8" s="74">
        <f t="shared" ref="K8:K14" si="3">I8-J8</f>
        <v>-6592</v>
      </c>
      <c r="L8" s="77">
        <f>182640+11561</f>
        <v>194201</v>
      </c>
      <c r="M8" s="56">
        <f>254124+11355</f>
        <v>265479</v>
      </c>
      <c r="N8" s="77">
        <f>L8-M8</f>
        <v>-71278</v>
      </c>
      <c r="O8" s="77" t="s">
        <v>11</v>
      </c>
      <c r="P8" s="56" t="s">
        <v>11</v>
      </c>
      <c r="Q8" s="77" t="s">
        <v>11</v>
      </c>
    </row>
    <row r="9" spans="1:17" ht="15.95" customHeight="1" x14ac:dyDescent="0.25">
      <c r="A9" s="15" t="s">
        <v>12</v>
      </c>
      <c r="B9" s="18" t="s">
        <v>13</v>
      </c>
      <c r="C9" s="3">
        <v>62648</v>
      </c>
      <c r="D9" s="45">
        <v>135444</v>
      </c>
      <c r="E9" s="69">
        <f t="shared" si="0"/>
        <v>2.1619844208913293</v>
      </c>
      <c r="F9" s="45">
        <v>151386</v>
      </c>
      <c r="G9" s="45">
        <f t="shared" si="1"/>
        <v>-15942</v>
      </c>
      <c r="H9" s="20">
        <f t="shared" si="2"/>
        <v>-11.770178080978116</v>
      </c>
      <c r="I9" s="45">
        <v>34022</v>
      </c>
      <c r="J9" s="45">
        <v>31992</v>
      </c>
      <c r="K9" s="74">
        <f t="shared" si="3"/>
        <v>2030</v>
      </c>
      <c r="L9" s="77">
        <v>9042</v>
      </c>
      <c r="M9" s="56">
        <v>10286</v>
      </c>
      <c r="N9" s="77">
        <f>L9-M9</f>
        <v>-1244</v>
      </c>
      <c r="O9" s="77">
        <v>92380</v>
      </c>
      <c r="P9" s="56">
        <v>109108</v>
      </c>
      <c r="Q9" s="77">
        <f>O9-P9</f>
        <v>-16728</v>
      </c>
    </row>
    <row r="10" spans="1:17" ht="15.95" customHeight="1" x14ac:dyDescent="0.25">
      <c r="A10" s="15" t="s">
        <v>14</v>
      </c>
      <c r="B10" s="18" t="s">
        <v>15</v>
      </c>
      <c r="C10" s="3">
        <v>37323</v>
      </c>
      <c r="D10" s="45">
        <v>165570</v>
      </c>
      <c r="E10" s="69">
        <f t="shared" si="0"/>
        <v>4.4361385740696084</v>
      </c>
      <c r="F10" s="45">
        <v>180420</v>
      </c>
      <c r="G10" s="45">
        <f t="shared" si="1"/>
        <v>-14850</v>
      </c>
      <c r="H10" s="20">
        <f t="shared" si="2"/>
        <v>-8.9690161261098016</v>
      </c>
      <c r="I10" s="45">
        <v>111768</v>
      </c>
      <c r="J10" s="45">
        <v>117236</v>
      </c>
      <c r="K10" s="74">
        <f t="shared" si="3"/>
        <v>-5468</v>
      </c>
      <c r="L10" s="77">
        <v>6083</v>
      </c>
      <c r="M10" s="56">
        <v>6980</v>
      </c>
      <c r="N10" s="77">
        <f>L10-M10</f>
        <v>-897</v>
      </c>
      <c r="O10" s="77">
        <v>47719</v>
      </c>
      <c r="P10" s="56">
        <v>56204</v>
      </c>
      <c r="Q10" s="77">
        <f>O10-P10</f>
        <v>-8485</v>
      </c>
    </row>
    <row r="11" spans="1:17" ht="15.95" customHeight="1" x14ac:dyDescent="0.25">
      <c r="A11" s="15" t="s">
        <v>16</v>
      </c>
      <c r="B11" s="18" t="s">
        <v>17</v>
      </c>
      <c r="C11" s="3">
        <v>3609</v>
      </c>
      <c r="D11" s="45">
        <v>12255</v>
      </c>
      <c r="E11" s="69">
        <f t="shared" si="0"/>
        <v>3.3956774729842061</v>
      </c>
      <c r="F11" s="45">
        <v>12148</v>
      </c>
      <c r="G11" s="45">
        <f t="shared" si="1"/>
        <v>107</v>
      </c>
      <c r="H11" s="20">
        <f t="shared" si="2"/>
        <v>0.87311301509587924</v>
      </c>
      <c r="I11" s="45">
        <v>6385</v>
      </c>
      <c r="J11" s="45">
        <v>6080</v>
      </c>
      <c r="K11" s="74">
        <f t="shared" si="3"/>
        <v>305</v>
      </c>
      <c r="L11" s="77">
        <v>5870</v>
      </c>
      <c r="M11" s="56">
        <v>6068</v>
      </c>
      <c r="N11" s="77">
        <f>L11-M11</f>
        <v>-198</v>
      </c>
      <c r="O11" s="77" t="s">
        <v>11</v>
      </c>
      <c r="P11" s="56" t="s">
        <v>11</v>
      </c>
      <c r="Q11" s="77" t="s">
        <v>11</v>
      </c>
    </row>
    <row r="12" spans="1:17" ht="15.95" customHeight="1" x14ac:dyDescent="0.25">
      <c r="A12" s="15" t="s">
        <v>18</v>
      </c>
      <c r="B12" s="18" t="s">
        <v>19</v>
      </c>
      <c r="C12" s="3">
        <v>16429</v>
      </c>
      <c r="D12" s="45">
        <v>56072</v>
      </c>
      <c r="E12" s="69">
        <f t="shared" si="0"/>
        <v>3.4129892263680079</v>
      </c>
      <c r="F12" s="45">
        <v>63524</v>
      </c>
      <c r="G12" s="45">
        <f t="shared" si="1"/>
        <v>-7452</v>
      </c>
      <c r="H12" s="20">
        <f t="shared" si="2"/>
        <v>-13.290055642745042</v>
      </c>
      <c r="I12" s="45">
        <v>56072</v>
      </c>
      <c r="J12" s="45">
        <v>63524</v>
      </c>
      <c r="K12" s="74">
        <f t="shared" si="3"/>
        <v>-7452</v>
      </c>
      <c r="L12" s="77" t="s">
        <v>11</v>
      </c>
      <c r="M12" s="56" t="s">
        <v>11</v>
      </c>
      <c r="N12" s="77" t="s">
        <v>11</v>
      </c>
      <c r="O12" s="77" t="s">
        <v>11</v>
      </c>
      <c r="P12" s="56" t="s">
        <v>11</v>
      </c>
      <c r="Q12" s="77" t="s">
        <v>11</v>
      </c>
    </row>
    <row r="13" spans="1:17" ht="15.95" customHeight="1" x14ac:dyDescent="0.25">
      <c r="A13" s="15" t="s">
        <v>20</v>
      </c>
      <c r="B13" s="18" t="s">
        <v>21</v>
      </c>
      <c r="C13" s="3">
        <v>15665</v>
      </c>
      <c r="D13" s="45">
        <v>43093</v>
      </c>
      <c r="E13" s="69">
        <f t="shared" si="0"/>
        <v>2.7509096712416214</v>
      </c>
      <c r="F13" s="45">
        <v>45239</v>
      </c>
      <c r="G13" s="45">
        <f t="shared" si="1"/>
        <v>-2146</v>
      </c>
      <c r="H13" s="20">
        <f t="shared" si="2"/>
        <v>-4.9799271343373634</v>
      </c>
      <c r="I13" s="45">
        <v>14114</v>
      </c>
      <c r="J13" s="45">
        <v>17146</v>
      </c>
      <c r="K13" s="74">
        <f t="shared" si="3"/>
        <v>-3032</v>
      </c>
      <c r="L13" s="77">
        <v>2360</v>
      </c>
      <c r="M13" s="56">
        <v>2328</v>
      </c>
      <c r="N13" s="77">
        <f>L13-M13</f>
        <v>32</v>
      </c>
      <c r="O13" s="77">
        <v>26619</v>
      </c>
      <c r="P13" s="56">
        <v>25765</v>
      </c>
      <c r="Q13" s="77">
        <f>O13-P13</f>
        <v>854</v>
      </c>
    </row>
    <row r="14" spans="1:17" ht="15.95" customHeight="1" x14ac:dyDescent="0.25">
      <c r="A14" s="15" t="s">
        <v>22</v>
      </c>
      <c r="B14" s="18" t="s">
        <v>23</v>
      </c>
      <c r="C14" s="3">
        <v>37087</v>
      </c>
      <c r="D14" s="45">
        <v>121077</v>
      </c>
      <c r="E14" s="69">
        <f t="shared" si="0"/>
        <v>3.2646749534877451</v>
      </c>
      <c r="F14" s="45">
        <v>125176</v>
      </c>
      <c r="G14" s="45">
        <f t="shared" si="1"/>
        <v>-4099</v>
      </c>
      <c r="H14" s="20">
        <f t="shared" si="2"/>
        <v>-3.385448929193819</v>
      </c>
      <c r="I14" s="45">
        <v>30042</v>
      </c>
      <c r="J14" s="45">
        <v>31801</v>
      </c>
      <c r="K14" s="74">
        <f t="shared" si="3"/>
        <v>-1759</v>
      </c>
      <c r="L14" s="77" t="s">
        <v>11</v>
      </c>
      <c r="M14" s="56" t="s">
        <v>11</v>
      </c>
      <c r="N14" s="77" t="s">
        <v>11</v>
      </c>
      <c r="O14" s="77">
        <v>91035</v>
      </c>
      <c r="P14" s="56">
        <v>93375</v>
      </c>
      <c r="Q14" s="77">
        <f>O14-P14</f>
        <v>-2340</v>
      </c>
    </row>
    <row r="15" spans="1:17" ht="15.95" customHeight="1" x14ac:dyDescent="0.25">
      <c r="A15" s="108" t="s">
        <v>30</v>
      </c>
      <c r="B15" s="109"/>
      <c r="C15" s="49">
        <f t="shared" ref="C15:Q15" si="4">SUM(C8:C14)</f>
        <v>321817</v>
      </c>
      <c r="D15" s="21">
        <f t="shared" si="4"/>
        <v>815954</v>
      </c>
      <c r="E15" s="39">
        <f t="shared" si="4"/>
        <v>21.317252753993142</v>
      </c>
      <c r="F15" s="21">
        <f t="shared" si="4"/>
        <v>938206</v>
      </c>
      <c r="G15" s="21">
        <f t="shared" si="4"/>
        <v>-122252</v>
      </c>
      <c r="H15" s="21">
        <f t="shared" si="4"/>
        <v>-69.091677497851165</v>
      </c>
      <c r="I15" s="21">
        <f t="shared" si="4"/>
        <v>340645</v>
      </c>
      <c r="J15" s="21">
        <f t="shared" si="4"/>
        <v>362613</v>
      </c>
      <c r="K15" s="57">
        <f t="shared" si="4"/>
        <v>-21968</v>
      </c>
      <c r="L15" s="58">
        <f t="shared" si="4"/>
        <v>217556</v>
      </c>
      <c r="M15" s="58">
        <f t="shared" si="4"/>
        <v>291141</v>
      </c>
      <c r="N15" s="58">
        <f t="shared" si="4"/>
        <v>-73585</v>
      </c>
      <c r="O15" s="58">
        <f t="shared" si="4"/>
        <v>257753</v>
      </c>
      <c r="P15" s="58">
        <f t="shared" si="4"/>
        <v>284452</v>
      </c>
      <c r="Q15" s="58">
        <f t="shared" si="4"/>
        <v>-26699</v>
      </c>
    </row>
    <row r="16" spans="1:17" ht="15.95" customHeight="1" x14ac:dyDescent="0.25">
      <c r="A16" s="106" t="s">
        <v>32</v>
      </c>
      <c r="B16" s="107"/>
      <c r="C16" s="49">
        <f t="shared" ref="C16:K16" si="5">C15/7</f>
        <v>45973.857142857145</v>
      </c>
      <c r="D16" s="21">
        <f t="shared" si="5"/>
        <v>116564.85714285714</v>
      </c>
      <c r="E16" s="39">
        <f t="shared" si="5"/>
        <v>3.0453218219990204</v>
      </c>
      <c r="F16" s="21">
        <f t="shared" si="5"/>
        <v>134029.42857142858</v>
      </c>
      <c r="G16" s="21">
        <f t="shared" si="5"/>
        <v>-17464.571428571428</v>
      </c>
      <c r="H16" s="21">
        <f t="shared" si="5"/>
        <v>-9.8702396425501657</v>
      </c>
      <c r="I16" s="21">
        <f t="shared" si="5"/>
        <v>48663.571428571428</v>
      </c>
      <c r="J16" s="21">
        <f t="shared" si="5"/>
        <v>51801.857142857145</v>
      </c>
      <c r="K16" s="21">
        <f t="shared" si="5"/>
        <v>-3138.2857142857142</v>
      </c>
      <c r="L16" s="58">
        <f>L15/5</f>
        <v>43511.199999999997</v>
      </c>
      <c r="M16" s="58">
        <f>M15/5</f>
        <v>58228.2</v>
      </c>
      <c r="N16" s="58">
        <f>N15/5</f>
        <v>-14717</v>
      </c>
      <c r="O16" s="58">
        <f>O15/4</f>
        <v>64438.25</v>
      </c>
      <c r="P16" s="58">
        <f>P15/4</f>
        <v>71113</v>
      </c>
      <c r="Q16" s="58">
        <f>Q15/4</f>
        <v>-6674.75</v>
      </c>
    </row>
    <row r="17" spans="1:17" ht="15.95" customHeight="1" x14ac:dyDescent="0.25">
      <c r="A17" s="134" t="s">
        <v>24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23"/>
      <c r="M17" s="23"/>
      <c r="N17" s="23"/>
      <c r="O17" s="23"/>
      <c r="P17" s="23"/>
      <c r="Q17" s="23"/>
    </row>
    <row r="18" spans="1:17" ht="15.95" customHeight="1" x14ac:dyDescent="0.25">
      <c r="A18" s="15" t="s">
        <v>8</v>
      </c>
      <c r="B18" s="18" t="s">
        <v>25</v>
      </c>
      <c r="C18" s="15">
        <v>24236</v>
      </c>
      <c r="D18" s="45">
        <v>78687</v>
      </c>
      <c r="E18" s="69">
        <f>D18/C18</f>
        <v>3.2466991252681963</v>
      </c>
      <c r="F18" s="45">
        <v>75265</v>
      </c>
      <c r="G18" s="45">
        <f>-D18-F18</f>
        <v>-153952</v>
      </c>
      <c r="H18" s="20">
        <f>G18/D18*100</f>
        <v>-195.65112407386226</v>
      </c>
      <c r="I18" s="45">
        <v>17102</v>
      </c>
      <c r="J18" s="45">
        <v>21416</v>
      </c>
      <c r="K18" s="74">
        <f>I18-J18</f>
        <v>-4314</v>
      </c>
      <c r="L18" s="77">
        <v>3733</v>
      </c>
      <c r="M18" s="56">
        <v>5927</v>
      </c>
      <c r="N18" s="77">
        <f>L18-M18</f>
        <v>-2194</v>
      </c>
      <c r="O18" s="77">
        <v>57852</v>
      </c>
      <c r="P18" s="56">
        <v>47922</v>
      </c>
      <c r="Q18" s="77">
        <f>O18-P18</f>
        <v>9930</v>
      </c>
    </row>
    <row r="19" spans="1:17" ht="15.95" customHeight="1" x14ac:dyDescent="0.25">
      <c r="A19" s="15" t="s">
        <v>12</v>
      </c>
      <c r="B19" s="18" t="s">
        <v>26</v>
      </c>
      <c r="C19" s="15">
        <v>7126</v>
      </c>
      <c r="D19" s="45">
        <v>24081</v>
      </c>
      <c r="E19" s="69">
        <f>D19/C19</f>
        <v>3.3793151838338478</v>
      </c>
      <c r="F19" s="45">
        <v>32847</v>
      </c>
      <c r="G19" s="45">
        <f>D19-F19</f>
        <v>-8766</v>
      </c>
      <c r="H19" s="20">
        <f>G19/D19*100</f>
        <v>-36.402142768157468</v>
      </c>
      <c r="I19" s="45">
        <v>12654</v>
      </c>
      <c r="J19" s="45">
        <v>19642</v>
      </c>
      <c r="K19" s="74">
        <f>I19-J19</f>
        <v>-6988</v>
      </c>
      <c r="L19" s="77" t="s">
        <v>11</v>
      </c>
      <c r="M19" s="56" t="s">
        <v>11</v>
      </c>
      <c r="N19" s="77" t="s">
        <v>11</v>
      </c>
      <c r="O19" s="77">
        <v>11427</v>
      </c>
      <c r="P19" s="56">
        <v>13205</v>
      </c>
      <c r="Q19" s="77">
        <f>O19-P19</f>
        <v>-1778</v>
      </c>
    </row>
    <row r="20" spans="1:17" ht="15.95" customHeight="1" x14ac:dyDescent="0.25">
      <c r="A20" s="15" t="s">
        <v>14</v>
      </c>
      <c r="B20" s="18" t="s">
        <v>27</v>
      </c>
      <c r="C20" s="15">
        <v>21436</v>
      </c>
      <c r="D20" s="45">
        <v>57738</v>
      </c>
      <c r="E20" s="69">
        <f>D20/C20</f>
        <v>2.6935062511662622</v>
      </c>
      <c r="F20" s="45">
        <v>73715</v>
      </c>
      <c r="G20" s="45">
        <f>D20-F20</f>
        <v>-15977</v>
      </c>
      <c r="H20" s="20">
        <f>G20/D20*100</f>
        <v>-27.671550798434307</v>
      </c>
      <c r="I20" s="45">
        <v>27560</v>
      </c>
      <c r="J20" s="45">
        <v>37424</v>
      </c>
      <c r="K20" s="74">
        <f>I20-J20</f>
        <v>-9864</v>
      </c>
      <c r="L20" s="77" t="s">
        <v>11</v>
      </c>
      <c r="M20" s="56" t="s">
        <v>11</v>
      </c>
      <c r="N20" s="77" t="s">
        <v>11</v>
      </c>
      <c r="O20" s="77">
        <v>30178</v>
      </c>
      <c r="P20" s="56">
        <v>36291</v>
      </c>
      <c r="Q20" s="77">
        <f>O20-P20</f>
        <v>-6113</v>
      </c>
    </row>
    <row r="21" spans="1:17" ht="15.95" customHeight="1" x14ac:dyDescent="0.25">
      <c r="A21" s="15" t="s">
        <v>16</v>
      </c>
      <c r="B21" s="18" t="s">
        <v>28</v>
      </c>
      <c r="C21" s="15">
        <v>37331</v>
      </c>
      <c r="D21" s="45">
        <v>90545</v>
      </c>
      <c r="E21" s="69">
        <f>D21/C21</f>
        <v>2.4254640915057193</v>
      </c>
      <c r="F21" s="45">
        <v>92314</v>
      </c>
      <c r="G21" s="45">
        <f>D21-F21</f>
        <v>-1769</v>
      </c>
      <c r="H21" s="20">
        <f>G21/D21*100</f>
        <v>-1.9537246672925064</v>
      </c>
      <c r="I21" s="45">
        <v>33360</v>
      </c>
      <c r="J21" s="45">
        <v>38813</v>
      </c>
      <c r="K21" s="74">
        <f>I21-J21</f>
        <v>-5453</v>
      </c>
      <c r="L21" s="77">
        <v>6327</v>
      </c>
      <c r="M21" s="56">
        <v>7734</v>
      </c>
      <c r="N21" s="77">
        <f>L21-M21</f>
        <v>-1407</v>
      </c>
      <c r="O21" s="77">
        <v>50858</v>
      </c>
      <c r="P21" s="56">
        <v>45767</v>
      </c>
      <c r="Q21" s="77">
        <f>O21-P21</f>
        <v>5091</v>
      </c>
    </row>
    <row r="22" spans="1:17" ht="15.95" customHeight="1" x14ac:dyDescent="0.25">
      <c r="A22" s="149" t="s">
        <v>30</v>
      </c>
      <c r="B22" s="150"/>
      <c r="C22" s="49">
        <f t="shared" ref="C22:Q22" si="6">SUM(C18:C21)</f>
        <v>90129</v>
      </c>
      <c r="D22" s="21">
        <f t="shared" si="6"/>
        <v>251051</v>
      </c>
      <c r="E22" s="39">
        <f t="shared" si="6"/>
        <v>11.744984651774026</v>
      </c>
      <c r="F22" s="21">
        <f t="shared" si="6"/>
        <v>274141</v>
      </c>
      <c r="G22" s="21">
        <f t="shared" si="6"/>
        <v>-180464</v>
      </c>
      <c r="H22" s="21">
        <f t="shared" si="6"/>
        <v>-261.67854230774657</v>
      </c>
      <c r="I22" s="21">
        <f t="shared" si="6"/>
        <v>90676</v>
      </c>
      <c r="J22" s="21">
        <f t="shared" si="6"/>
        <v>117295</v>
      </c>
      <c r="K22" s="57">
        <f t="shared" si="6"/>
        <v>-26619</v>
      </c>
      <c r="L22" s="58">
        <f t="shared" si="6"/>
        <v>10060</v>
      </c>
      <c r="M22" s="59">
        <f>SUM(M18:M21)</f>
        <v>13661</v>
      </c>
      <c r="N22" s="58">
        <f t="shared" si="6"/>
        <v>-3601</v>
      </c>
      <c r="O22" s="58">
        <f t="shared" si="6"/>
        <v>150315</v>
      </c>
      <c r="P22" s="58">
        <f t="shared" si="6"/>
        <v>143185</v>
      </c>
      <c r="Q22" s="58">
        <f t="shared" si="6"/>
        <v>7130</v>
      </c>
    </row>
    <row r="23" spans="1:17" ht="15.95" customHeight="1" x14ac:dyDescent="0.25">
      <c r="A23" s="151" t="s">
        <v>32</v>
      </c>
      <c r="B23" s="152"/>
      <c r="C23" s="49">
        <f t="shared" ref="C23:K23" si="7">C22/4</f>
        <v>22532.25</v>
      </c>
      <c r="D23" s="21">
        <f t="shared" si="7"/>
        <v>62762.75</v>
      </c>
      <c r="E23" s="39">
        <f t="shared" si="7"/>
        <v>2.9362461629435064</v>
      </c>
      <c r="F23" s="21">
        <f t="shared" si="7"/>
        <v>68535.25</v>
      </c>
      <c r="G23" s="21">
        <f t="shared" si="7"/>
        <v>-45116</v>
      </c>
      <c r="H23" s="21">
        <f t="shared" si="7"/>
        <v>-65.419635576936642</v>
      </c>
      <c r="I23" s="21">
        <f t="shared" si="7"/>
        <v>22669</v>
      </c>
      <c r="J23" s="21">
        <f t="shared" si="7"/>
        <v>29323.75</v>
      </c>
      <c r="K23" s="21">
        <f t="shared" si="7"/>
        <v>-6654.75</v>
      </c>
      <c r="L23" s="58">
        <f>L22/2</f>
        <v>5030</v>
      </c>
      <c r="M23" s="58">
        <f>M22/2</f>
        <v>6830.5</v>
      </c>
      <c r="N23" s="58">
        <f>N22/2</f>
        <v>-1800.5</v>
      </c>
      <c r="O23" s="58">
        <f>O22/4</f>
        <v>37578.75</v>
      </c>
      <c r="P23" s="58">
        <f>P22/4</f>
        <v>35796.25</v>
      </c>
      <c r="Q23" s="58">
        <f>Q22/4</f>
        <v>1782.5</v>
      </c>
    </row>
    <row r="24" spans="1:17" ht="30.75" customHeight="1" x14ac:dyDescent="0.25">
      <c r="A24" s="147" t="s">
        <v>29</v>
      </c>
      <c r="B24" s="148"/>
      <c r="C24" s="51">
        <f t="shared" ref="C24:Q24" si="8">SUM(C15,C22)</f>
        <v>411946</v>
      </c>
      <c r="D24" s="51">
        <f t="shared" si="8"/>
        <v>1067005</v>
      </c>
      <c r="E24" s="65">
        <f t="shared" si="8"/>
        <v>33.062237405767164</v>
      </c>
      <c r="F24" s="51">
        <f t="shared" si="8"/>
        <v>1212347</v>
      </c>
      <c r="G24" s="51">
        <f t="shared" si="8"/>
        <v>-302716</v>
      </c>
      <c r="H24" s="51">
        <f t="shared" si="8"/>
        <v>-330.77021980559772</v>
      </c>
      <c r="I24" s="51">
        <f t="shared" si="8"/>
        <v>431321</v>
      </c>
      <c r="J24" s="51">
        <f t="shared" si="8"/>
        <v>479908</v>
      </c>
      <c r="K24" s="60">
        <f t="shared" si="8"/>
        <v>-48587</v>
      </c>
      <c r="L24" s="61">
        <f t="shared" si="8"/>
        <v>227616</v>
      </c>
      <c r="M24" s="61">
        <f t="shared" si="8"/>
        <v>304802</v>
      </c>
      <c r="N24" s="61">
        <f t="shared" si="8"/>
        <v>-77186</v>
      </c>
      <c r="O24" s="61">
        <f t="shared" si="8"/>
        <v>408068</v>
      </c>
      <c r="P24" s="61">
        <f t="shared" si="8"/>
        <v>427637</v>
      </c>
      <c r="Q24" s="61">
        <f t="shared" si="8"/>
        <v>-19569</v>
      </c>
    </row>
    <row r="25" spans="1:17" ht="34.5" customHeight="1" x14ac:dyDescent="0.25">
      <c r="A25" s="147" t="s">
        <v>31</v>
      </c>
      <c r="B25" s="148"/>
      <c r="C25" s="51">
        <f t="shared" ref="C25:K25" si="9">C24/11</f>
        <v>37449.63636363636</v>
      </c>
      <c r="D25" s="51">
        <f t="shared" si="9"/>
        <v>97000.454545454544</v>
      </c>
      <c r="E25" s="65">
        <f t="shared" si="9"/>
        <v>3.0056579459788328</v>
      </c>
      <c r="F25" s="51">
        <f t="shared" si="9"/>
        <v>110213.36363636363</v>
      </c>
      <c r="G25" s="51">
        <f t="shared" si="9"/>
        <v>-27519.636363636364</v>
      </c>
      <c r="H25" s="51">
        <f t="shared" si="9"/>
        <v>-30.070019982327064</v>
      </c>
      <c r="I25" s="51">
        <f t="shared" si="9"/>
        <v>39211</v>
      </c>
      <c r="J25" s="51">
        <f t="shared" si="9"/>
        <v>43628</v>
      </c>
      <c r="K25" s="51">
        <f t="shared" si="9"/>
        <v>-4417</v>
      </c>
      <c r="L25" s="51">
        <f>L24/7</f>
        <v>32516.571428571428</v>
      </c>
      <c r="M25" s="60">
        <f>M24/7</f>
        <v>43543.142857142855</v>
      </c>
      <c r="N25" s="51">
        <f>N24/7</f>
        <v>-11026.571428571429</v>
      </c>
      <c r="O25" s="61">
        <f>O24/8</f>
        <v>51008.5</v>
      </c>
      <c r="P25" s="61">
        <f>P24/8</f>
        <v>53454.625</v>
      </c>
      <c r="Q25" s="61">
        <f>Q24/8</f>
        <v>-2446.125</v>
      </c>
    </row>
  </sheetData>
  <mergeCells count="30">
    <mergeCell ref="L5:L6"/>
    <mergeCell ref="N5:N6"/>
    <mergeCell ref="O5:O6"/>
    <mergeCell ref="D5:D6"/>
    <mergeCell ref="E5:E6"/>
    <mergeCell ref="H5:H6"/>
    <mergeCell ref="A24:B24"/>
    <mergeCell ref="A25:B25"/>
    <mergeCell ref="A7:K7"/>
    <mergeCell ref="A15:B15"/>
    <mergeCell ref="A17:K17"/>
    <mergeCell ref="A22:B22"/>
    <mergeCell ref="A16:B16"/>
    <mergeCell ref="A23:B23"/>
    <mergeCell ref="O4:Q4"/>
    <mergeCell ref="P5:P6"/>
    <mergeCell ref="Q5:Q6"/>
    <mergeCell ref="A2:Q2"/>
    <mergeCell ref="C4:C6"/>
    <mergeCell ref="B4:B6"/>
    <mergeCell ref="A4:A6"/>
    <mergeCell ref="I4:K4"/>
    <mergeCell ref="L4:N4"/>
    <mergeCell ref="M5:M6"/>
    <mergeCell ref="J5:J6"/>
    <mergeCell ref="I5:I6"/>
    <mergeCell ref="D4:H4"/>
    <mergeCell ref="F5:F6"/>
    <mergeCell ref="G5:G6"/>
    <mergeCell ref="K5:K6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5"/>
  <sheetViews>
    <sheetView workbookViewId="0">
      <selection activeCell="H47" sqref="H47"/>
    </sheetView>
  </sheetViews>
  <sheetFormatPr defaultRowHeight="15" x14ac:dyDescent="0.25"/>
  <cols>
    <col min="1" max="1" width="5.140625" customWidth="1"/>
    <col min="2" max="2" width="27.7109375" customWidth="1"/>
    <col min="3" max="3" width="10.5703125" customWidth="1"/>
    <col min="4" max="4" width="9.85546875" customWidth="1"/>
    <col min="5" max="5" width="10.42578125" customWidth="1"/>
    <col min="7" max="7" width="9.5703125" bestFit="1" customWidth="1"/>
    <col min="8" max="8" width="10" customWidth="1"/>
    <col min="11" max="11" width="9.85546875" customWidth="1"/>
    <col min="14" max="14" width="10.28515625" customWidth="1"/>
  </cols>
  <sheetData>
    <row r="2" spans="1:14" ht="15.75" x14ac:dyDescent="0.25">
      <c r="A2" s="137" t="s">
        <v>95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4" spans="1:14" ht="9.75" customHeight="1" x14ac:dyDescent="0.25">
      <c r="A4" s="97" t="s">
        <v>0</v>
      </c>
      <c r="B4" s="139" t="s">
        <v>1</v>
      </c>
      <c r="C4" s="128" t="s">
        <v>47</v>
      </c>
      <c r="D4" s="129"/>
      <c r="E4" s="129"/>
      <c r="F4" s="128" t="s">
        <v>3</v>
      </c>
      <c r="G4" s="129"/>
      <c r="H4" s="126"/>
      <c r="I4" s="128" t="s">
        <v>45</v>
      </c>
      <c r="J4" s="129"/>
      <c r="K4" s="126"/>
      <c r="L4" s="128" t="s">
        <v>46</v>
      </c>
      <c r="M4" s="129"/>
      <c r="N4" s="126"/>
    </row>
    <row r="5" spans="1:14" ht="8.25" customHeight="1" x14ac:dyDescent="0.25">
      <c r="A5" s="141"/>
      <c r="B5" s="145"/>
      <c r="C5" s="130"/>
      <c r="D5" s="131"/>
      <c r="E5" s="131"/>
      <c r="F5" s="130"/>
      <c r="G5" s="131"/>
      <c r="H5" s="127"/>
      <c r="I5" s="130"/>
      <c r="J5" s="131"/>
      <c r="K5" s="127"/>
      <c r="L5" s="130"/>
      <c r="M5" s="131"/>
      <c r="N5" s="127"/>
    </row>
    <row r="6" spans="1:14" ht="23.25" customHeight="1" x14ac:dyDescent="0.25">
      <c r="A6" s="141"/>
      <c r="B6" s="145"/>
      <c r="C6" s="34" t="s">
        <v>96</v>
      </c>
      <c r="D6" s="34" t="s">
        <v>79</v>
      </c>
      <c r="E6" s="34" t="s">
        <v>49</v>
      </c>
      <c r="F6" s="34" t="s">
        <v>91</v>
      </c>
      <c r="G6" s="34" t="s">
        <v>79</v>
      </c>
      <c r="H6" s="34" t="s">
        <v>49</v>
      </c>
      <c r="I6" s="34" t="s">
        <v>91</v>
      </c>
      <c r="J6" s="34" t="s">
        <v>79</v>
      </c>
      <c r="K6" s="34" t="s">
        <v>49</v>
      </c>
      <c r="L6" s="34" t="s">
        <v>91</v>
      </c>
      <c r="M6" s="34" t="s">
        <v>79</v>
      </c>
      <c r="N6" s="34" t="s">
        <v>49</v>
      </c>
    </row>
    <row r="7" spans="1:14" ht="15.75" x14ac:dyDescent="0.25">
      <c r="A7" s="153" t="s">
        <v>7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5"/>
    </row>
    <row r="8" spans="1:14" ht="15.95" customHeight="1" x14ac:dyDescent="0.25">
      <c r="A8" s="15" t="s">
        <v>8</v>
      </c>
      <c r="B8" s="18" t="s">
        <v>9</v>
      </c>
      <c r="C8" s="45">
        <v>61800</v>
      </c>
      <c r="D8" s="45">
        <v>78351</v>
      </c>
      <c r="E8" s="45">
        <f t="shared" ref="E8:E14" si="0">C8-D8</f>
        <v>-16551</v>
      </c>
      <c r="F8" s="45">
        <v>13763</v>
      </c>
      <c r="G8" s="45">
        <v>17271</v>
      </c>
      <c r="H8" s="74">
        <f t="shared" ref="H8:H14" si="1">F8-G8</f>
        <v>-3508</v>
      </c>
      <c r="I8" s="16">
        <f>41215+6822</f>
        <v>48037</v>
      </c>
      <c r="J8" s="16">
        <f>54655+6425</f>
        <v>61080</v>
      </c>
      <c r="K8" s="16">
        <f>I8-J8</f>
        <v>-13043</v>
      </c>
      <c r="L8" s="16" t="s">
        <v>11</v>
      </c>
      <c r="M8" s="16" t="s">
        <v>11</v>
      </c>
      <c r="N8" s="16" t="s">
        <v>11</v>
      </c>
    </row>
    <row r="9" spans="1:14" ht="15.95" customHeight="1" x14ac:dyDescent="0.25">
      <c r="A9" s="15" t="s">
        <v>12</v>
      </c>
      <c r="B9" s="18" t="s">
        <v>13</v>
      </c>
      <c r="C9" s="45">
        <v>47563</v>
      </c>
      <c r="D9" s="45">
        <v>64602</v>
      </c>
      <c r="E9" s="45">
        <f t="shared" si="0"/>
        <v>-17039</v>
      </c>
      <c r="F9" s="45">
        <v>8367</v>
      </c>
      <c r="G9" s="45">
        <v>14992</v>
      </c>
      <c r="H9" s="74">
        <f t="shared" si="1"/>
        <v>-6625</v>
      </c>
      <c r="I9" s="16">
        <v>3881</v>
      </c>
      <c r="J9" s="16">
        <v>4721</v>
      </c>
      <c r="K9" s="16">
        <f>I9-J9</f>
        <v>-840</v>
      </c>
      <c r="L9" s="16">
        <v>35315</v>
      </c>
      <c r="M9" s="16">
        <v>44889</v>
      </c>
      <c r="N9" s="16">
        <f>L9-M9</f>
        <v>-9574</v>
      </c>
    </row>
    <row r="10" spans="1:14" ht="15.95" customHeight="1" x14ac:dyDescent="0.25">
      <c r="A10" s="15" t="s">
        <v>14</v>
      </c>
      <c r="B10" s="18" t="s">
        <v>15</v>
      </c>
      <c r="C10" s="45">
        <v>51907</v>
      </c>
      <c r="D10" s="45">
        <v>66111</v>
      </c>
      <c r="E10" s="45">
        <f t="shared" si="0"/>
        <v>-14204</v>
      </c>
      <c r="F10" s="45">
        <v>35310</v>
      </c>
      <c r="G10" s="45">
        <v>47816</v>
      </c>
      <c r="H10" s="74">
        <f t="shared" si="1"/>
        <v>-12506</v>
      </c>
      <c r="I10" s="16">
        <v>1882</v>
      </c>
      <c r="J10" s="16">
        <v>2125</v>
      </c>
      <c r="K10" s="16">
        <f>I10-J10</f>
        <v>-243</v>
      </c>
      <c r="L10" s="16">
        <v>14715</v>
      </c>
      <c r="M10" s="16">
        <v>16170</v>
      </c>
      <c r="N10" s="16">
        <f>L10-M10</f>
        <v>-1455</v>
      </c>
    </row>
    <row r="11" spans="1:14" ht="15.95" customHeight="1" x14ac:dyDescent="0.25">
      <c r="A11" s="15" t="s">
        <v>16</v>
      </c>
      <c r="B11" s="18" t="s">
        <v>17</v>
      </c>
      <c r="C11" s="45">
        <v>1346</v>
      </c>
      <c r="D11" s="45">
        <v>1452</v>
      </c>
      <c r="E11" s="45">
        <f t="shared" si="0"/>
        <v>-106</v>
      </c>
      <c r="F11" s="45">
        <v>638</v>
      </c>
      <c r="G11" s="45">
        <v>620</v>
      </c>
      <c r="H11" s="74">
        <f t="shared" si="1"/>
        <v>18</v>
      </c>
      <c r="I11" s="16">
        <v>708</v>
      </c>
      <c r="J11" s="16">
        <v>832</v>
      </c>
      <c r="K11" s="16">
        <f>I11-J11</f>
        <v>-124</v>
      </c>
      <c r="L11" s="16" t="s">
        <v>11</v>
      </c>
      <c r="M11" s="16" t="s">
        <v>11</v>
      </c>
      <c r="N11" s="16" t="s">
        <v>11</v>
      </c>
    </row>
    <row r="12" spans="1:14" ht="15.95" customHeight="1" x14ac:dyDescent="0.25">
      <c r="A12" s="15" t="s">
        <v>18</v>
      </c>
      <c r="B12" s="18" t="s">
        <v>19</v>
      </c>
      <c r="C12" s="45">
        <v>13485</v>
      </c>
      <c r="D12" s="45">
        <v>16492</v>
      </c>
      <c r="E12" s="45">
        <f t="shared" si="0"/>
        <v>-3007</v>
      </c>
      <c r="F12" s="45">
        <v>13485</v>
      </c>
      <c r="G12" s="45">
        <v>16492</v>
      </c>
      <c r="H12" s="74">
        <f t="shared" si="1"/>
        <v>-3007</v>
      </c>
      <c r="I12" s="16" t="s">
        <v>11</v>
      </c>
      <c r="J12" s="16" t="s">
        <v>11</v>
      </c>
      <c r="K12" s="16" t="s">
        <v>11</v>
      </c>
      <c r="L12" s="16" t="s">
        <v>11</v>
      </c>
      <c r="M12" s="16" t="s">
        <v>11</v>
      </c>
      <c r="N12" s="16" t="s">
        <v>11</v>
      </c>
    </row>
    <row r="13" spans="1:14" ht="15.95" customHeight="1" x14ac:dyDescent="0.25">
      <c r="A13" s="15" t="s">
        <v>20</v>
      </c>
      <c r="B13" s="18" t="s">
        <v>21</v>
      </c>
      <c r="C13" s="45">
        <v>10050</v>
      </c>
      <c r="D13" s="45">
        <v>11383</v>
      </c>
      <c r="E13" s="45">
        <f t="shared" si="0"/>
        <v>-1333</v>
      </c>
      <c r="F13" s="45">
        <v>4099</v>
      </c>
      <c r="G13" s="45">
        <v>5438</v>
      </c>
      <c r="H13" s="74">
        <f t="shared" si="1"/>
        <v>-1339</v>
      </c>
      <c r="I13" s="16">
        <v>26</v>
      </c>
      <c r="J13" s="16">
        <v>14</v>
      </c>
      <c r="K13" s="16">
        <f>I13-J13</f>
        <v>12</v>
      </c>
      <c r="L13" s="16">
        <v>5925</v>
      </c>
      <c r="M13" s="16">
        <v>5931</v>
      </c>
      <c r="N13" s="16">
        <f>L13-M13</f>
        <v>-6</v>
      </c>
    </row>
    <row r="14" spans="1:14" ht="15.95" customHeight="1" x14ac:dyDescent="0.25">
      <c r="A14" s="15" t="s">
        <v>22</v>
      </c>
      <c r="B14" s="18" t="s">
        <v>23</v>
      </c>
      <c r="C14" s="45">
        <v>38638</v>
      </c>
      <c r="D14" s="45">
        <v>43746</v>
      </c>
      <c r="E14" s="45">
        <f t="shared" si="0"/>
        <v>-5108</v>
      </c>
      <c r="F14" s="45">
        <v>0</v>
      </c>
      <c r="G14" s="45">
        <v>10107</v>
      </c>
      <c r="H14" s="74">
        <f t="shared" si="1"/>
        <v>-10107</v>
      </c>
      <c r="I14" s="16" t="s">
        <v>11</v>
      </c>
      <c r="J14" s="16" t="s">
        <v>11</v>
      </c>
      <c r="K14" s="16" t="s">
        <v>11</v>
      </c>
      <c r="L14" s="16">
        <v>38638</v>
      </c>
      <c r="M14" s="16">
        <v>33639</v>
      </c>
      <c r="N14" s="16">
        <f>L14-M14</f>
        <v>4999</v>
      </c>
    </row>
    <row r="15" spans="1:14" ht="15.95" customHeight="1" x14ac:dyDescent="0.25">
      <c r="A15" s="108" t="s">
        <v>30</v>
      </c>
      <c r="B15" s="109"/>
      <c r="C15" s="21">
        <f t="shared" ref="C15:N15" si="2">SUM(C8:C14)</f>
        <v>224789</v>
      </c>
      <c r="D15" s="21">
        <f t="shared" si="2"/>
        <v>282137</v>
      </c>
      <c r="E15" s="21">
        <f t="shared" si="2"/>
        <v>-57348</v>
      </c>
      <c r="F15" s="21">
        <f t="shared" si="2"/>
        <v>75662</v>
      </c>
      <c r="G15" s="21">
        <f t="shared" si="2"/>
        <v>112736</v>
      </c>
      <c r="H15" s="57">
        <f t="shared" si="2"/>
        <v>-37074</v>
      </c>
      <c r="I15" s="54">
        <f t="shared" si="2"/>
        <v>54534</v>
      </c>
      <c r="J15" s="54">
        <f t="shared" si="2"/>
        <v>68772</v>
      </c>
      <c r="K15" s="54">
        <f t="shared" si="2"/>
        <v>-14238</v>
      </c>
      <c r="L15" s="54">
        <f t="shared" si="2"/>
        <v>94593</v>
      </c>
      <c r="M15" s="54">
        <f t="shared" si="2"/>
        <v>100629</v>
      </c>
      <c r="N15" s="54">
        <f t="shared" si="2"/>
        <v>-6036</v>
      </c>
    </row>
    <row r="16" spans="1:14" ht="15.95" customHeight="1" x14ac:dyDescent="0.25">
      <c r="A16" s="156" t="s">
        <v>32</v>
      </c>
      <c r="B16" s="156"/>
      <c r="C16" s="21">
        <f t="shared" ref="C16:H16" si="3">C15/7</f>
        <v>32112.714285714286</v>
      </c>
      <c r="D16" s="21">
        <f t="shared" si="3"/>
        <v>40305.285714285717</v>
      </c>
      <c r="E16" s="21">
        <f t="shared" si="3"/>
        <v>-8192.5714285714294</v>
      </c>
      <c r="F16" s="21">
        <f t="shared" si="3"/>
        <v>10808.857142857143</v>
      </c>
      <c r="G16" s="21">
        <f t="shared" si="3"/>
        <v>16105.142857142857</v>
      </c>
      <c r="H16" s="21">
        <f t="shared" si="3"/>
        <v>-5296.2857142857147</v>
      </c>
      <c r="I16" s="21">
        <f>I15/5</f>
        <v>10906.8</v>
      </c>
      <c r="J16" s="21">
        <f>J15/5</f>
        <v>13754.4</v>
      </c>
      <c r="K16" s="21">
        <f>K15/5</f>
        <v>-2847.6</v>
      </c>
      <c r="L16" s="21">
        <f>L15/4</f>
        <v>23648.25</v>
      </c>
      <c r="M16" s="21">
        <f>M15/4</f>
        <v>25157.25</v>
      </c>
      <c r="N16" s="21">
        <f>N15/4</f>
        <v>-1509</v>
      </c>
    </row>
    <row r="17" spans="1:14" ht="15.95" customHeight="1" x14ac:dyDescent="0.25">
      <c r="A17" s="153" t="s">
        <v>24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5"/>
    </row>
    <row r="18" spans="1:14" ht="15.95" customHeight="1" x14ac:dyDescent="0.25">
      <c r="A18" s="15" t="s">
        <v>8</v>
      </c>
      <c r="B18" s="18" t="s">
        <v>25</v>
      </c>
      <c r="C18" s="45">
        <v>24375</v>
      </c>
      <c r="D18" s="45">
        <v>29155</v>
      </c>
      <c r="E18" s="45">
        <f>C18-D18</f>
        <v>-4780</v>
      </c>
      <c r="F18" s="45">
        <v>5336</v>
      </c>
      <c r="G18" s="45">
        <v>6216</v>
      </c>
      <c r="H18" s="74">
        <f>F18-G18</f>
        <v>-880</v>
      </c>
      <c r="I18" s="16">
        <v>1546</v>
      </c>
      <c r="J18" s="16">
        <v>2965</v>
      </c>
      <c r="K18" s="16">
        <f>I18-J18</f>
        <v>-1419</v>
      </c>
      <c r="L18" s="16">
        <v>17493</v>
      </c>
      <c r="M18" s="16">
        <v>19974</v>
      </c>
      <c r="N18" s="16">
        <f>L18-M18</f>
        <v>-2481</v>
      </c>
    </row>
    <row r="19" spans="1:14" ht="15.95" customHeight="1" x14ac:dyDescent="0.25">
      <c r="A19" s="15" t="s">
        <v>12</v>
      </c>
      <c r="B19" s="18" t="s">
        <v>26</v>
      </c>
      <c r="C19" s="45">
        <v>7502</v>
      </c>
      <c r="D19" s="45">
        <v>12625</v>
      </c>
      <c r="E19" s="45">
        <f>C19-D19</f>
        <v>-5123</v>
      </c>
      <c r="F19" s="45">
        <v>4882</v>
      </c>
      <c r="G19" s="45">
        <v>8723</v>
      </c>
      <c r="H19" s="74">
        <f>F19-G19</f>
        <v>-3841</v>
      </c>
      <c r="I19" s="16" t="s">
        <v>11</v>
      </c>
      <c r="J19" s="16" t="s">
        <v>11</v>
      </c>
      <c r="K19" s="16" t="s">
        <v>11</v>
      </c>
      <c r="L19" s="16">
        <v>2620</v>
      </c>
      <c r="M19" s="16">
        <v>3902</v>
      </c>
      <c r="N19" s="16">
        <f>L19-M19</f>
        <v>-1282</v>
      </c>
    </row>
    <row r="20" spans="1:14" ht="15.95" customHeight="1" x14ac:dyDescent="0.25">
      <c r="A20" s="15" t="s">
        <v>14</v>
      </c>
      <c r="B20" s="18" t="s">
        <v>27</v>
      </c>
      <c r="C20" s="45">
        <v>19883</v>
      </c>
      <c r="D20" s="45">
        <v>24092</v>
      </c>
      <c r="E20" s="45">
        <f>C20-D20</f>
        <v>-4209</v>
      </c>
      <c r="F20" s="45">
        <v>8753</v>
      </c>
      <c r="G20" s="45">
        <v>9415</v>
      </c>
      <c r="H20" s="74">
        <f>F20-G20</f>
        <v>-662</v>
      </c>
      <c r="I20" s="16" t="s">
        <v>11</v>
      </c>
      <c r="J20" s="16" t="s">
        <v>11</v>
      </c>
      <c r="K20" s="16" t="s">
        <v>11</v>
      </c>
      <c r="L20" s="16">
        <v>11130</v>
      </c>
      <c r="M20" s="16">
        <v>14677</v>
      </c>
      <c r="N20" s="16">
        <f>L20-M20</f>
        <v>-3547</v>
      </c>
    </row>
    <row r="21" spans="1:14" ht="15.95" customHeight="1" x14ac:dyDescent="0.25">
      <c r="A21" s="15" t="s">
        <v>16</v>
      </c>
      <c r="B21" s="18" t="s">
        <v>28</v>
      </c>
      <c r="C21" s="45">
        <v>31684</v>
      </c>
      <c r="D21" s="45">
        <v>31915</v>
      </c>
      <c r="E21" s="45">
        <f>C21-D21</f>
        <v>-231</v>
      </c>
      <c r="F21" s="45">
        <v>9169</v>
      </c>
      <c r="G21" s="45">
        <v>9713</v>
      </c>
      <c r="H21" s="74">
        <f>F21-G21</f>
        <v>-544</v>
      </c>
      <c r="I21" s="16">
        <v>3003</v>
      </c>
      <c r="J21" s="16">
        <v>3426</v>
      </c>
      <c r="K21" s="16">
        <f>I21-J21</f>
        <v>-423</v>
      </c>
      <c r="L21" s="16">
        <v>19512</v>
      </c>
      <c r="M21" s="16">
        <v>18776</v>
      </c>
      <c r="N21" s="16">
        <f>L21-M21</f>
        <v>736</v>
      </c>
    </row>
    <row r="22" spans="1:14" ht="15.95" customHeight="1" x14ac:dyDescent="0.25">
      <c r="A22" s="108" t="s">
        <v>30</v>
      </c>
      <c r="B22" s="109"/>
      <c r="C22" s="21">
        <f t="shared" ref="C22:N22" si="4">SUM(C18:C21)</f>
        <v>83444</v>
      </c>
      <c r="D22" s="21">
        <f t="shared" si="4"/>
        <v>97787</v>
      </c>
      <c r="E22" s="21">
        <f t="shared" si="4"/>
        <v>-14343</v>
      </c>
      <c r="F22" s="21">
        <f t="shared" si="4"/>
        <v>28140</v>
      </c>
      <c r="G22" s="21">
        <f t="shared" si="4"/>
        <v>34067</v>
      </c>
      <c r="H22" s="57">
        <f t="shared" si="4"/>
        <v>-5927</v>
      </c>
      <c r="I22" s="54">
        <f t="shared" si="4"/>
        <v>4549</v>
      </c>
      <c r="J22" s="54">
        <f t="shared" si="4"/>
        <v>6391</v>
      </c>
      <c r="K22" s="54">
        <f t="shared" si="4"/>
        <v>-1842</v>
      </c>
      <c r="L22" s="54">
        <f t="shared" si="4"/>
        <v>50755</v>
      </c>
      <c r="M22" s="54">
        <f t="shared" si="4"/>
        <v>57329</v>
      </c>
      <c r="N22" s="54">
        <f t="shared" si="4"/>
        <v>-6574</v>
      </c>
    </row>
    <row r="23" spans="1:14" ht="15.95" customHeight="1" x14ac:dyDescent="0.25">
      <c r="A23" s="156" t="s">
        <v>32</v>
      </c>
      <c r="B23" s="156"/>
      <c r="C23" s="21">
        <f t="shared" ref="C23:H23" si="5">C22/4</f>
        <v>20861</v>
      </c>
      <c r="D23" s="21">
        <f t="shared" si="5"/>
        <v>24446.75</v>
      </c>
      <c r="E23" s="21">
        <f t="shared" si="5"/>
        <v>-3585.75</v>
      </c>
      <c r="F23" s="21">
        <f t="shared" si="5"/>
        <v>7035</v>
      </c>
      <c r="G23" s="21">
        <f t="shared" si="5"/>
        <v>8516.75</v>
      </c>
      <c r="H23" s="57">
        <f t="shared" si="5"/>
        <v>-1481.75</v>
      </c>
      <c r="I23" s="21">
        <f>I22/2</f>
        <v>2274.5</v>
      </c>
      <c r="J23" s="21">
        <f>J22/2</f>
        <v>3195.5</v>
      </c>
      <c r="K23" s="21">
        <f>K22/2</f>
        <v>-921</v>
      </c>
      <c r="L23" s="21">
        <f>L22/4</f>
        <v>12688.75</v>
      </c>
      <c r="M23" s="21">
        <f>M22/4</f>
        <v>14332.25</v>
      </c>
      <c r="N23" s="21">
        <f>N22/4</f>
        <v>-1643.5</v>
      </c>
    </row>
    <row r="24" spans="1:14" ht="29.25" customHeight="1" x14ac:dyDescent="0.25">
      <c r="A24" s="104" t="s">
        <v>29</v>
      </c>
      <c r="B24" s="105"/>
      <c r="C24" s="51">
        <f t="shared" ref="C24:N24" si="6">SUM(C15,C22)</f>
        <v>308233</v>
      </c>
      <c r="D24" s="51">
        <f t="shared" si="6"/>
        <v>379924</v>
      </c>
      <c r="E24" s="51">
        <f t="shared" si="6"/>
        <v>-71691</v>
      </c>
      <c r="F24" s="51">
        <f t="shared" si="6"/>
        <v>103802</v>
      </c>
      <c r="G24" s="51">
        <f t="shared" si="6"/>
        <v>146803</v>
      </c>
      <c r="H24" s="60">
        <f t="shared" si="6"/>
        <v>-43001</v>
      </c>
      <c r="I24" s="50">
        <f t="shared" si="6"/>
        <v>59083</v>
      </c>
      <c r="J24" s="50">
        <f t="shared" si="6"/>
        <v>75163</v>
      </c>
      <c r="K24" s="50">
        <f t="shared" si="6"/>
        <v>-16080</v>
      </c>
      <c r="L24" s="50">
        <f t="shared" si="6"/>
        <v>145348</v>
      </c>
      <c r="M24" s="50">
        <f t="shared" si="6"/>
        <v>157958</v>
      </c>
      <c r="N24" s="50">
        <f t="shared" si="6"/>
        <v>-12610</v>
      </c>
    </row>
    <row r="25" spans="1:14" ht="30.75" customHeight="1" x14ac:dyDescent="0.25">
      <c r="A25" s="104" t="s">
        <v>31</v>
      </c>
      <c r="B25" s="105"/>
      <c r="C25" s="51">
        <f t="shared" ref="C25:H25" si="7">C24/11</f>
        <v>28021.18181818182</v>
      </c>
      <c r="D25" s="51">
        <f t="shared" si="7"/>
        <v>34538.545454545456</v>
      </c>
      <c r="E25" s="51">
        <f t="shared" si="7"/>
        <v>-6517.363636363636</v>
      </c>
      <c r="F25" s="51">
        <f t="shared" si="7"/>
        <v>9436.545454545454</v>
      </c>
      <c r="G25" s="51">
        <f t="shared" si="7"/>
        <v>13345.727272727272</v>
      </c>
      <c r="H25" s="51">
        <f t="shared" si="7"/>
        <v>-3909.181818181818</v>
      </c>
      <c r="I25" s="51">
        <f>I24/7</f>
        <v>8440.4285714285706</v>
      </c>
      <c r="J25" s="60">
        <f>J24/7</f>
        <v>10737.571428571429</v>
      </c>
      <c r="K25" s="51">
        <f>K24/7</f>
        <v>-2297.1428571428573</v>
      </c>
      <c r="L25" s="51">
        <f>L24/8</f>
        <v>18168.5</v>
      </c>
      <c r="M25" s="51">
        <f>M24/8</f>
        <v>19744.75</v>
      </c>
      <c r="N25" s="51">
        <f>N24/8</f>
        <v>-1576.25</v>
      </c>
    </row>
  </sheetData>
  <mergeCells count="15">
    <mergeCell ref="A25:B25"/>
    <mergeCell ref="A17:N17"/>
    <mergeCell ref="A7:N7"/>
    <mergeCell ref="A2:N2"/>
    <mergeCell ref="A15:B15"/>
    <mergeCell ref="A22:B22"/>
    <mergeCell ref="A24:B24"/>
    <mergeCell ref="L4:N5"/>
    <mergeCell ref="A4:A6"/>
    <mergeCell ref="B4:B6"/>
    <mergeCell ref="C4:E5"/>
    <mergeCell ref="F4:H5"/>
    <mergeCell ref="I4:K5"/>
    <mergeCell ref="A16:B16"/>
    <mergeCell ref="A23:B23"/>
  </mergeCells>
  <pageMargins left="0.70000000000000007" right="0.70000000000000007" top="0.75" bottom="0.75" header="0.30000000000000004" footer="0.3000000000000000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37"/>
  <sheetViews>
    <sheetView workbookViewId="0">
      <selection activeCell="T13" sqref="T13:T14"/>
    </sheetView>
  </sheetViews>
  <sheetFormatPr defaultRowHeight="15" x14ac:dyDescent="0.25"/>
  <cols>
    <col min="1" max="1" width="5" customWidth="1"/>
    <col min="2" max="2" width="28" customWidth="1"/>
    <col min="3" max="3" width="10.5703125" customWidth="1"/>
    <col min="5" max="5" width="9.85546875" customWidth="1"/>
    <col min="8" max="8" width="10" customWidth="1"/>
    <col min="11" max="11" width="10" customWidth="1"/>
    <col min="14" max="14" width="10.140625" customWidth="1"/>
  </cols>
  <sheetData>
    <row r="2" spans="1:14" ht="15.75" x14ac:dyDescent="0.25">
      <c r="A2" s="137" t="s">
        <v>97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4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24" customHeight="1" x14ac:dyDescent="0.25">
      <c r="A4" s="97" t="s">
        <v>0</v>
      </c>
      <c r="B4" s="139" t="s">
        <v>1</v>
      </c>
      <c r="C4" s="124" t="s">
        <v>47</v>
      </c>
      <c r="D4" s="138"/>
      <c r="E4" s="125"/>
      <c r="F4" s="124" t="s">
        <v>3</v>
      </c>
      <c r="G4" s="138"/>
      <c r="H4" s="125"/>
      <c r="I4" s="124" t="s">
        <v>45</v>
      </c>
      <c r="J4" s="138"/>
      <c r="K4" s="125"/>
      <c r="L4" s="124" t="s">
        <v>46</v>
      </c>
      <c r="M4" s="138"/>
      <c r="N4" s="125"/>
    </row>
    <row r="5" spans="1:14" ht="26.25" customHeight="1" x14ac:dyDescent="0.25">
      <c r="A5" s="141"/>
      <c r="B5" s="145"/>
      <c r="C5" s="81" t="s">
        <v>96</v>
      </c>
      <c r="D5" s="81" t="s">
        <v>79</v>
      </c>
      <c r="E5" s="35" t="s">
        <v>49</v>
      </c>
      <c r="F5" s="35" t="s">
        <v>91</v>
      </c>
      <c r="G5" s="35" t="s">
        <v>79</v>
      </c>
      <c r="H5" s="35" t="s">
        <v>49</v>
      </c>
      <c r="I5" s="35" t="s">
        <v>91</v>
      </c>
      <c r="J5" s="35" t="s">
        <v>79</v>
      </c>
      <c r="K5" s="35" t="s">
        <v>49</v>
      </c>
      <c r="L5" s="35" t="s">
        <v>91</v>
      </c>
      <c r="M5" s="35" t="s">
        <v>79</v>
      </c>
      <c r="N5" s="35" t="s">
        <v>49</v>
      </c>
    </row>
    <row r="6" spans="1:14" ht="15.95" customHeight="1" x14ac:dyDescent="0.25">
      <c r="A6" s="29" t="s">
        <v>7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1"/>
    </row>
    <row r="7" spans="1:14" ht="15.95" customHeight="1" x14ac:dyDescent="0.25">
      <c r="A7" s="15" t="s">
        <v>8</v>
      </c>
      <c r="B7" s="18" t="s">
        <v>9</v>
      </c>
      <c r="C7" s="45">
        <v>501199</v>
      </c>
      <c r="D7" s="45">
        <v>579929</v>
      </c>
      <c r="E7" s="45">
        <f t="shared" ref="E7:E13" si="0">C7-D7</f>
        <v>-78730</v>
      </c>
      <c r="F7" s="45">
        <v>164112</v>
      </c>
      <c r="G7" s="45">
        <v>168696</v>
      </c>
      <c r="H7" s="74">
        <f t="shared" ref="H7:H13" si="1">F7-G7</f>
        <v>-4584</v>
      </c>
      <c r="I7" s="16">
        <f>316040+21047</f>
        <v>337087</v>
      </c>
      <c r="J7" s="75">
        <f>389672+21561</f>
        <v>411233</v>
      </c>
      <c r="K7" s="75">
        <f>I7-J7</f>
        <v>-74146</v>
      </c>
      <c r="L7" s="16" t="s">
        <v>11</v>
      </c>
      <c r="M7" s="75" t="s">
        <v>11</v>
      </c>
      <c r="N7" s="75" t="s">
        <v>11</v>
      </c>
    </row>
    <row r="8" spans="1:14" ht="15.95" customHeight="1" x14ac:dyDescent="0.25">
      <c r="A8" s="15" t="s">
        <v>12</v>
      </c>
      <c r="B8" s="18" t="s">
        <v>13</v>
      </c>
      <c r="C8" s="45">
        <v>198271</v>
      </c>
      <c r="D8" s="45">
        <v>215340</v>
      </c>
      <c r="E8" s="45">
        <f t="shared" si="0"/>
        <v>-17069</v>
      </c>
      <c r="F8" s="45">
        <v>28614</v>
      </c>
      <c r="G8" s="45">
        <v>45831</v>
      </c>
      <c r="H8" s="74">
        <f t="shared" si="1"/>
        <v>-17217</v>
      </c>
      <c r="I8" s="16">
        <v>17306</v>
      </c>
      <c r="J8" s="75">
        <v>15583</v>
      </c>
      <c r="K8" s="75">
        <f>I8-J8</f>
        <v>1723</v>
      </c>
      <c r="L8" s="16">
        <v>152351</v>
      </c>
      <c r="M8" s="75">
        <v>153926</v>
      </c>
      <c r="N8" s="75">
        <f>L8-M8</f>
        <v>-1575</v>
      </c>
    </row>
    <row r="9" spans="1:14" ht="15.95" customHeight="1" x14ac:dyDescent="0.25">
      <c r="A9" s="15" t="s">
        <v>14</v>
      </c>
      <c r="B9" s="18" t="s">
        <v>15</v>
      </c>
      <c r="C9" s="45">
        <v>149164</v>
      </c>
      <c r="D9" s="45">
        <v>165316</v>
      </c>
      <c r="E9" s="45">
        <f t="shared" si="0"/>
        <v>-16152</v>
      </c>
      <c r="F9" s="45">
        <v>43708</v>
      </c>
      <c r="G9" s="45">
        <v>62944</v>
      </c>
      <c r="H9" s="74">
        <f t="shared" si="1"/>
        <v>-19236</v>
      </c>
      <c r="I9" s="16">
        <v>18198</v>
      </c>
      <c r="J9" s="75">
        <v>16592</v>
      </c>
      <c r="K9" s="75">
        <f>I9-J9</f>
        <v>1606</v>
      </c>
      <c r="L9" s="16">
        <v>87258</v>
      </c>
      <c r="M9" s="75">
        <v>85780</v>
      </c>
      <c r="N9" s="75">
        <f>L9-M9</f>
        <v>1478</v>
      </c>
    </row>
    <row r="10" spans="1:14" ht="15.95" customHeight="1" x14ac:dyDescent="0.25">
      <c r="A10" s="15" t="s">
        <v>16</v>
      </c>
      <c r="B10" s="18" t="s">
        <v>17</v>
      </c>
      <c r="C10" s="45">
        <v>18862</v>
      </c>
      <c r="D10" s="45">
        <v>21137</v>
      </c>
      <c r="E10" s="45">
        <f t="shared" si="0"/>
        <v>-2275</v>
      </c>
      <c r="F10" s="45">
        <v>7348</v>
      </c>
      <c r="G10" s="45">
        <v>9280</v>
      </c>
      <c r="H10" s="74">
        <f t="shared" si="1"/>
        <v>-1932</v>
      </c>
      <c r="I10" s="16">
        <v>11514</v>
      </c>
      <c r="J10" s="75">
        <v>11857</v>
      </c>
      <c r="K10" s="75">
        <f>I10-J10</f>
        <v>-343</v>
      </c>
      <c r="L10" s="16" t="s">
        <v>11</v>
      </c>
      <c r="M10" s="75" t="s">
        <v>11</v>
      </c>
      <c r="N10" s="75" t="s">
        <v>11</v>
      </c>
    </row>
    <row r="11" spans="1:14" ht="15.95" customHeight="1" x14ac:dyDescent="0.25">
      <c r="A11" s="15" t="s">
        <v>18</v>
      </c>
      <c r="B11" s="18" t="s">
        <v>19</v>
      </c>
      <c r="C11" s="45">
        <v>82110</v>
      </c>
      <c r="D11" s="45">
        <v>100886</v>
      </c>
      <c r="E11" s="45">
        <f t="shared" si="0"/>
        <v>-18776</v>
      </c>
      <c r="F11" s="45">
        <v>82110</v>
      </c>
      <c r="G11" s="45">
        <v>100886</v>
      </c>
      <c r="H11" s="74">
        <f t="shared" si="1"/>
        <v>-18776</v>
      </c>
      <c r="I11" s="16" t="s">
        <v>11</v>
      </c>
      <c r="J11" s="75" t="s">
        <v>11</v>
      </c>
      <c r="K11" s="75" t="s">
        <v>11</v>
      </c>
      <c r="L11" s="16" t="s">
        <v>11</v>
      </c>
      <c r="M11" s="75" t="s">
        <v>11</v>
      </c>
      <c r="N11" s="75" t="s">
        <v>11</v>
      </c>
    </row>
    <row r="12" spans="1:14" ht="15.95" customHeight="1" x14ac:dyDescent="0.25">
      <c r="A12" s="15" t="s">
        <v>20</v>
      </c>
      <c r="B12" s="18" t="s">
        <v>21</v>
      </c>
      <c r="C12" s="45">
        <v>104889</v>
      </c>
      <c r="D12" s="45">
        <v>102543</v>
      </c>
      <c r="E12" s="45">
        <f t="shared" si="0"/>
        <v>2346</v>
      </c>
      <c r="F12" s="45">
        <v>33800</v>
      </c>
      <c r="G12" s="45">
        <v>32619</v>
      </c>
      <c r="H12" s="74">
        <f t="shared" si="1"/>
        <v>1181</v>
      </c>
      <c r="I12" s="16">
        <v>4174</v>
      </c>
      <c r="J12" s="75">
        <v>4490</v>
      </c>
      <c r="K12" s="75">
        <f>I12-J12</f>
        <v>-316</v>
      </c>
      <c r="L12" s="16">
        <v>66915</v>
      </c>
      <c r="M12" s="75">
        <v>65434</v>
      </c>
      <c r="N12" s="75">
        <f>L12-M12</f>
        <v>1481</v>
      </c>
    </row>
    <row r="13" spans="1:14" ht="15.95" customHeight="1" x14ac:dyDescent="0.25">
      <c r="A13" s="15" t="s">
        <v>22</v>
      </c>
      <c r="B13" s="18" t="s">
        <v>23</v>
      </c>
      <c r="C13" s="45">
        <v>147467</v>
      </c>
      <c r="D13" s="45">
        <v>165332</v>
      </c>
      <c r="E13" s="45">
        <f t="shared" si="0"/>
        <v>-17865</v>
      </c>
      <c r="F13" s="45">
        <v>34717</v>
      </c>
      <c r="G13" s="45">
        <v>45322</v>
      </c>
      <c r="H13" s="74">
        <f t="shared" si="1"/>
        <v>-10605</v>
      </c>
      <c r="I13" s="16" t="s">
        <v>11</v>
      </c>
      <c r="J13" s="75" t="s">
        <v>11</v>
      </c>
      <c r="K13" s="75" t="s">
        <v>11</v>
      </c>
      <c r="L13" s="16">
        <v>112750</v>
      </c>
      <c r="M13" s="75">
        <v>120010</v>
      </c>
      <c r="N13" s="75">
        <f>L13-M13</f>
        <v>-7260</v>
      </c>
    </row>
    <row r="14" spans="1:14" ht="15.95" customHeight="1" x14ac:dyDescent="0.25">
      <c r="A14" s="158" t="s">
        <v>30</v>
      </c>
      <c r="B14" s="158"/>
      <c r="C14" s="21">
        <f t="shared" ref="C14:N14" si="2">SUM(C7:C13)</f>
        <v>1201962</v>
      </c>
      <c r="D14" s="21">
        <f t="shared" si="2"/>
        <v>1350483</v>
      </c>
      <c r="E14" s="21">
        <f t="shared" si="2"/>
        <v>-148521</v>
      </c>
      <c r="F14" s="21">
        <f t="shared" si="2"/>
        <v>394409</v>
      </c>
      <c r="G14" s="21">
        <f t="shared" si="2"/>
        <v>465578</v>
      </c>
      <c r="H14" s="21">
        <f t="shared" si="2"/>
        <v>-71169</v>
      </c>
      <c r="I14" s="54">
        <f t="shared" si="2"/>
        <v>388279</v>
      </c>
      <c r="J14" s="54">
        <f t="shared" si="2"/>
        <v>459755</v>
      </c>
      <c r="K14" s="54">
        <f t="shared" si="2"/>
        <v>-71476</v>
      </c>
      <c r="L14" s="54">
        <f t="shared" si="2"/>
        <v>419274</v>
      </c>
      <c r="M14" s="54">
        <f t="shared" si="2"/>
        <v>425150</v>
      </c>
      <c r="N14" s="54">
        <f t="shared" si="2"/>
        <v>-5876</v>
      </c>
    </row>
    <row r="15" spans="1:14" s="36" customFormat="1" ht="15.95" customHeight="1" x14ac:dyDescent="0.25">
      <c r="A15" s="158" t="s">
        <v>32</v>
      </c>
      <c r="B15" s="158"/>
      <c r="C15" s="21">
        <f t="shared" ref="C15:H15" si="3">C14/7</f>
        <v>171708.85714285713</v>
      </c>
      <c r="D15" s="21">
        <f t="shared" si="3"/>
        <v>192926.14285714287</v>
      </c>
      <c r="E15" s="21">
        <f t="shared" si="3"/>
        <v>-21217.285714285714</v>
      </c>
      <c r="F15" s="21">
        <f t="shared" si="3"/>
        <v>56344.142857142855</v>
      </c>
      <c r="G15" s="21">
        <f t="shared" si="3"/>
        <v>66511.142857142855</v>
      </c>
      <c r="H15" s="21">
        <f t="shared" si="3"/>
        <v>-10167</v>
      </c>
      <c r="I15" s="54">
        <f>I14/5</f>
        <v>77655.8</v>
      </c>
      <c r="J15" s="54">
        <f>J14/5</f>
        <v>91951</v>
      </c>
      <c r="K15" s="54">
        <f>K14/5</f>
        <v>-14295.2</v>
      </c>
      <c r="L15" s="54">
        <f>L14/4</f>
        <v>104818.5</v>
      </c>
      <c r="M15" s="54">
        <f>M14/4</f>
        <v>106287.5</v>
      </c>
      <c r="N15" s="54">
        <f>N14/4</f>
        <v>-1469</v>
      </c>
    </row>
    <row r="16" spans="1:14" ht="15.95" customHeight="1" x14ac:dyDescent="0.25">
      <c r="A16" s="157" t="s">
        <v>24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</row>
    <row r="17" spans="1:14" ht="15.95" customHeight="1" x14ac:dyDescent="0.25">
      <c r="A17" s="15" t="s">
        <v>8</v>
      </c>
      <c r="B17" s="18" t="s">
        <v>25</v>
      </c>
      <c r="C17" s="45">
        <v>123158</v>
      </c>
      <c r="D17" s="45">
        <v>127466</v>
      </c>
      <c r="E17" s="45">
        <f>C17-D17</f>
        <v>-4308</v>
      </c>
      <c r="F17" s="45">
        <v>28104</v>
      </c>
      <c r="G17" s="45">
        <v>33461</v>
      </c>
      <c r="H17" s="74">
        <f>F17-G17</f>
        <v>-5357</v>
      </c>
      <c r="I17" s="16">
        <v>7864</v>
      </c>
      <c r="J17" s="75">
        <v>7143</v>
      </c>
      <c r="K17" s="75">
        <f>I17-J17</f>
        <v>721</v>
      </c>
      <c r="L17" s="16">
        <v>87190</v>
      </c>
      <c r="M17" s="75">
        <v>86862</v>
      </c>
      <c r="N17" s="75">
        <f>L17-M17</f>
        <v>328</v>
      </c>
    </row>
    <row r="18" spans="1:14" ht="15.95" customHeight="1" x14ac:dyDescent="0.25">
      <c r="A18" s="15" t="s">
        <v>12</v>
      </c>
      <c r="B18" s="18" t="s">
        <v>26</v>
      </c>
      <c r="C18" s="45">
        <v>26481</v>
      </c>
      <c r="D18" s="45">
        <v>34473</v>
      </c>
      <c r="E18" s="45">
        <f>C18-D18</f>
        <v>-7992</v>
      </c>
      <c r="F18" s="45">
        <v>0</v>
      </c>
      <c r="G18" s="45">
        <v>8081</v>
      </c>
      <c r="H18" s="74">
        <v>0</v>
      </c>
      <c r="I18" s="16" t="s">
        <v>11</v>
      </c>
      <c r="J18" s="75" t="s">
        <v>11</v>
      </c>
      <c r="K18" s="75" t="s">
        <v>11</v>
      </c>
      <c r="L18" s="16">
        <v>26481</v>
      </c>
      <c r="M18" s="75">
        <v>26392</v>
      </c>
      <c r="N18" s="75">
        <f>L18-M18</f>
        <v>89</v>
      </c>
    </row>
    <row r="19" spans="1:14" ht="15.95" customHeight="1" x14ac:dyDescent="0.25">
      <c r="A19" s="15" t="s">
        <v>14</v>
      </c>
      <c r="B19" s="18" t="s">
        <v>27</v>
      </c>
      <c r="C19" s="45">
        <v>94190</v>
      </c>
      <c r="D19" s="45">
        <v>95922</v>
      </c>
      <c r="E19" s="45">
        <f>C19-D19</f>
        <v>-1732</v>
      </c>
      <c r="F19" s="45">
        <v>31633</v>
      </c>
      <c r="G19" s="45">
        <v>30843</v>
      </c>
      <c r="H19" s="74">
        <f>F19-G19</f>
        <v>790</v>
      </c>
      <c r="I19" s="16" t="s">
        <v>11</v>
      </c>
      <c r="J19" s="75" t="s">
        <v>11</v>
      </c>
      <c r="K19" s="75" t="s">
        <v>11</v>
      </c>
      <c r="L19" s="16">
        <v>62557</v>
      </c>
      <c r="M19" s="75">
        <v>65079</v>
      </c>
      <c r="N19" s="75">
        <f>L19-M19</f>
        <v>-2522</v>
      </c>
    </row>
    <row r="20" spans="1:14" ht="15.95" customHeight="1" x14ac:dyDescent="0.25">
      <c r="A20" s="15" t="s">
        <v>16</v>
      </c>
      <c r="B20" s="18" t="s">
        <v>28</v>
      </c>
      <c r="C20" s="45">
        <v>128797</v>
      </c>
      <c r="D20" s="45">
        <v>145021</v>
      </c>
      <c r="E20" s="45">
        <f>C20-D20</f>
        <v>-16224</v>
      </c>
      <c r="F20" s="45">
        <v>51128</v>
      </c>
      <c r="G20" s="45">
        <v>62691</v>
      </c>
      <c r="H20" s="74">
        <f>F20-G20</f>
        <v>-11563</v>
      </c>
      <c r="I20" s="16">
        <v>8280</v>
      </c>
      <c r="J20" s="75">
        <v>8985</v>
      </c>
      <c r="K20" s="75">
        <f>I20-J20</f>
        <v>-705</v>
      </c>
      <c r="L20" s="16">
        <v>69389</v>
      </c>
      <c r="M20" s="75">
        <v>73345</v>
      </c>
      <c r="N20" s="75">
        <f>L20-M20</f>
        <v>-3956</v>
      </c>
    </row>
    <row r="21" spans="1:14" ht="15.95" customHeight="1" x14ac:dyDescent="0.25">
      <c r="A21" s="108" t="s">
        <v>30</v>
      </c>
      <c r="B21" s="109"/>
      <c r="C21" s="21">
        <f t="shared" ref="C21:N21" si="4">SUM(C17:C20)</f>
        <v>372626</v>
      </c>
      <c r="D21" s="21">
        <f t="shared" si="4"/>
        <v>402882</v>
      </c>
      <c r="E21" s="21">
        <f t="shared" si="4"/>
        <v>-30256</v>
      </c>
      <c r="F21" s="21">
        <f t="shared" si="4"/>
        <v>110865</v>
      </c>
      <c r="G21" s="21">
        <f t="shared" si="4"/>
        <v>135076</v>
      </c>
      <c r="H21" s="57">
        <f t="shared" si="4"/>
        <v>-16130</v>
      </c>
      <c r="I21" s="54">
        <f t="shared" si="4"/>
        <v>16144</v>
      </c>
      <c r="J21" s="54">
        <f t="shared" si="4"/>
        <v>16128</v>
      </c>
      <c r="K21" s="54">
        <f t="shared" si="4"/>
        <v>16</v>
      </c>
      <c r="L21" s="54">
        <f t="shared" si="4"/>
        <v>245617</v>
      </c>
      <c r="M21" s="54">
        <f t="shared" si="4"/>
        <v>251678</v>
      </c>
      <c r="N21" s="54">
        <f t="shared" si="4"/>
        <v>-6061</v>
      </c>
    </row>
    <row r="22" spans="1:14" ht="15.95" customHeight="1" x14ac:dyDescent="0.25">
      <c r="A22" s="158" t="s">
        <v>32</v>
      </c>
      <c r="B22" s="158"/>
      <c r="C22" s="21">
        <f t="shared" ref="C22:H22" si="5">C21/4</f>
        <v>93156.5</v>
      </c>
      <c r="D22" s="21">
        <f t="shared" si="5"/>
        <v>100720.5</v>
      </c>
      <c r="E22" s="21">
        <f t="shared" si="5"/>
        <v>-7564</v>
      </c>
      <c r="F22" s="21">
        <f t="shared" si="5"/>
        <v>27716.25</v>
      </c>
      <c r="G22" s="21">
        <f t="shared" si="5"/>
        <v>33769</v>
      </c>
      <c r="H22" s="57">
        <f t="shared" si="5"/>
        <v>-4032.5</v>
      </c>
      <c r="I22" s="54">
        <f>I21/2</f>
        <v>8072</v>
      </c>
      <c r="J22" s="54">
        <f>J21/2</f>
        <v>8064</v>
      </c>
      <c r="K22" s="54">
        <f>K21/2</f>
        <v>8</v>
      </c>
      <c r="L22" s="54">
        <f>L21/4</f>
        <v>61404.25</v>
      </c>
      <c r="M22" s="54">
        <f>M21/4</f>
        <v>62919.5</v>
      </c>
      <c r="N22" s="54">
        <f>N21/4</f>
        <v>-1515.25</v>
      </c>
    </row>
    <row r="23" spans="1:14" ht="28.5" customHeight="1" x14ac:dyDescent="0.25">
      <c r="A23" s="104" t="s">
        <v>29</v>
      </c>
      <c r="B23" s="105"/>
      <c r="C23" s="51">
        <f t="shared" ref="C23:N23" si="6">SUM(C14,C21)</f>
        <v>1574588</v>
      </c>
      <c r="D23" s="51">
        <f t="shared" si="6"/>
        <v>1753365</v>
      </c>
      <c r="E23" s="51">
        <f t="shared" si="6"/>
        <v>-178777</v>
      </c>
      <c r="F23" s="51">
        <f t="shared" si="6"/>
        <v>505274</v>
      </c>
      <c r="G23" s="51">
        <f t="shared" si="6"/>
        <v>600654</v>
      </c>
      <c r="H23" s="60">
        <f t="shared" si="6"/>
        <v>-87299</v>
      </c>
      <c r="I23" s="50">
        <f t="shared" si="6"/>
        <v>404423</v>
      </c>
      <c r="J23" s="50">
        <f t="shared" si="6"/>
        <v>475883</v>
      </c>
      <c r="K23" s="50">
        <f t="shared" si="6"/>
        <v>-71460</v>
      </c>
      <c r="L23" s="50">
        <f t="shared" si="6"/>
        <v>664891</v>
      </c>
      <c r="M23" s="50">
        <f t="shared" si="6"/>
        <v>676828</v>
      </c>
      <c r="N23" s="50">
        <f t="shared" si="6"/>
        <v>-11937</v>
      </c>
    </row>
    <row r="24" spans="1:14" ht="33" customHeight="1" x14ac:dyDescent="0.25">
      <c r="A24" s="104" t="s">
        <v>31</v>
      </c>
      <c r="B24" s="105"/>
      <c r="C24" s="51">
        <f t="shared" ref="C24:H24" si="7">C23/11</f>
        <v>143144.36363636365</v>
      </c>
      <c r="D24" s="51">
        <f t="shared" si="7"/>
        <v>159396.81818181818</v>
      </c>
      <c r="E24" s="51">
        <f t="shared" si="7"/>
        <v>-16252.454545454546</v>
      </c>
      <c r="F24" s="51">
        <f t="shared" si="7"/>
        <v>45934</v>
      </c>
      <c r="G24" s="51">
        <f t="shared" si="7"/>
        <v>54604.909090909088</v>
      </c>
      <c r="H24" s="51">
        <f t="shared" si="7"/>
        <v>-7936.272727272727</v>
      </c>
      <c r="I24" s="51">
        <f>I23/7</f>
        <v>57774.714285714283</v>
      </c>
      <c r="J24" s="60">
        <f>J23/7</f>
        <v>67983.28571428571</v>
      </c>
      <c r="K24" s="51">
        <f>K23/7</f>
        <v>-10208.571428571429</v>
      </c>
      <c r="L24" s="51">
        <f>L23/8</f>
        <v>83111.375</v>
      </c>
      <c r="M24" s="51">
        <f>M23/8</f>
        <v>84603.5</v>
      </c>
      <c r="N24" s="51">
        <f>N23/8</f>
        <v>-1492.125</v>
      </c>
    </row>
    <row r="25" spans="1:14" x14ac:dyDescent="0.25">
      <c r="I25" s="37"/>
      <c r="J25" s="37"/>
      <c r="K25" s="37"/>
    </row>
    <row r="26" spans="1:14" ht="15.75" customHeight="1" x14ac:dyDescent="0.25">
      <c r="I26" s="37"/>
      <c r="J26" s="37"/>
      <c r="K26" s="37"/>
    </row>
    <row r="27" spans="1:14" ht="15.75" customHeight="1" x14ac:dyDescent="0.25">
      <c r="I27" s="37"/>
      <c r="J27" s="37"/>
      <c r="K27" s="37"/>
    </row>
    <row r="28" spans="1:14" ht="15.75" customHeight="1" x14ac:dyDescent="0.25">
      <c r="I28" s="37"/>
      <c r="J28" s="37"/>
      <c r="K28" s="37"/>
    </row>
    <row r="29" spans="1:14" ht="15.75" customHeight="1" x14ac:dyDescent="0.25">
      <c r="I29" s="37"/>
      <c r="J29" s="37"/>
      <c r="K29" s="37"/>
    </row>
    <row r="30" spans="1:14" ht="15.75" customHeight="1" x14ac:dyDescent="0.25">
      <c r="I30" s="37"/>
      <c r="J30" s="37"/>
      <c r="K30" s="37"/>
    </row>
    <row r="31" spans="1:14" ht="15.75" customHeight="1" x14ac:dyDescent="0.25">
      <c r="I31" s="37"/>
      <c r="J31" s="37"/>
      <c r="K31" s="37"/>
    </row>
    <row r="32" spans="1:14" ht="15.75" customHeight="1" x14ac:dyDescent="0.25">
      <c r="I32" s="37"/>
      <c r="J32" s="37"/>
      <c r="K32" s="37"/>
    </row>
    <row r="33" spans="9:11" x14ac:dyDescent="0.25">
      <c r="I33" s="37"/>
      <c r="J33" s="37"/>
      <c r="K33" s="37"/>
    </row>
    <row r="34" spans="9:11" ht="15.75" customHeight="1" x14ac:dyDescent="0.25">
      <c r="I34" s="37"/>
      <c r="J34" s="37"/>
      <c r="K34" s="37"/>
    </row>
    <row r="35" spans="9:11" ht="15.75" customHeight="1" x14ac:dyDescent="0.25">
      <c r="I35" s="37"/>
      <c r="J35" s="37"/>
      <c r="K35" s="37"/>
    </row>
    <row r="36" spans="9:11" ht="15.75" customHeight="1" x14ac:dyDescent="0.25">
      <c r="I36" s="37"/>
      <c r="J36" s="37"/>
      <c r="K36" s="37"/>
    </row>
    <row r="37" spans="9:11" ht="15.75" customHeight="1" x14ac:dyDescent="0.25">
      <c r="I37" s="37"/>
      <c r="J37" s="37"/>
      <c r="K37" s="37"/>
    </row>
  </sheetData>
  <mergeCells count="14">
    <mergeCell ref="A16:N16"/>
    <mergeCell ref="A21:B21"/>
    <mergeCell ref="A23:B23"/>
    <mergeCell ref="A24:B24"/>
    <mergeCell ref="A2:N2"/>
    <mergeCell ref="C4:E4"/>
    <mergeCell ref="F4:H4"/>
    <mergeCell ref="I4:K4"/>
    <mergeCell ref="L4:N4"/>
    <mergeCell ref="A14:B14"/>
    <mergeCell ref="A4:A5"/>
    <mergeCell ref="B4:B5"/>
    <mergeCell ref="A15:B15"/>
    <mergeCell ref="A22:B22"/>
  </mergeCells>
  <pageMargins left="0.70000000000000007" right="0.70000000000000007" top="0.75" bottom="0.75" header="0.30000000000000004" footer="0.30000000000000004"/>
  <ignoredErrors>
    <ignoredError sqref="I24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9"/>
  <sheetViews>
    <sheetView workbookViewId="0">
      <selection activeCell="V18" sqref="V18"/>
    </sheetView>
  </sheetViews>
  <sheetFormatPr defaultRowHeight="15" x14ac:dyDescent="0.25"/>
  <cols>
    <col min="1" max="1" width="5.85546875" customWidth="1"/>
    <col min="2" max="2" width="27" customWidth="1"/>
    <col min="3" max="3" width="9.85546875" customWidth="1"/>
    <col min="4" max="4" width="8" customWidth="1"/>
    <col min="5" max="5" width="8.42578125" customWidth="1"/>
    <col min="6" max="6" width="8.140625" customWidth="1"/>
    <col min="7" max="7" width="8.42578125" customWidth="1"/>
    <col min="8" max="9" width="8.28515625" customWidth="1"/>
    <col min="10" max="10" width="8" customWidth="1"/>
    <col min="11" max="12" width="8.5703125" customWidth="1"/>
    <col min="13" max="13" width="8.28515625" customWidth="1"/>
    <col min="14" max="14" width="8" customWidth="1"/>
    <col min="15" max="15" width="8.42578125" customWidth="1"/>
    <col min="16" max="16" width="8.5703125" customWidth="1"/>
    <col min="17" max="17" width="8.42578125" customWidth="1"/>
    <col min="18" max="18" width="9.5703125" customWidth="1"/>
  </cols>
  <sheetData>
    <row r="2" spans="1:18" ht="15.75" x14ac:dyDescent="0.25">
      <c r="A2" s="137" t="s">
        <v>98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1" t="s">
        <v>0</v>
      </c>
      <c r="B4" s="111" t="s">
        <v>1</v>
      </c>
      <c r="C4" s="124" t="s">
        <v>51</v>
      </c>
      <c r="D4" s="138"/>
      <c r="E4" s="138"/>
      <c r="F4" s="138"/>
      <c r="G4" s="138"/>
      <c r="H4" s="138"/>
      <c r="I4" s="138"/>
      <c r="J4" s="125"/>
      <c r="K4" s="124" t="s">
        <v>52</v>
      </c>
      <c r="L4" s="138"/>
      <c r="M4" s="138"/>
      <c r="N4" s="138"/>
      <c r="O4" s="138"/>
      <c r="P4" s="138"/>
      <c r="Q4" s="138"/>
      <c r="R4" s="125"/>
    </row>
    <row r="5" spans="1:18" ht="28.5" customHeight="1" x14ac:dyDescent="0.25">
      <c r="A5" s="111"/>
      <c r="B5" s="111"/>
      <c r="C5" s="124" t="s">
        <v>47</v>
      </c>
      <c r="D5" s="125"/>
      <c r="E5" s="124" t="s">
        <v>3</v>
      </c>
      <c r="F5" s="125"/>
      <c r="G5" s="124" t="s">
        <v>45</v>
      </c>
      <c r="H5" s="125"/>
      <c r="I5" s="124" t="s">
        <v>46</v>
      </c>
      <c r="J5" s="125"/>
      <c r="K5" s="124" t="s">
        <v>47</v>
      </c>
      <c r="L5" s="125"/>
      <c r="M5" s="124" t="s">
        <v>3</v>
      </c>
      <c r="N5" s="125"/>
      <c r="O5" s="124" t="s">
        <v>45</v>
      </c>
      <c r="P5" s="125"/>
      <c r="Q5" s="124" t="s">
        <v>46</v>
      </c>
      <c r="R5" s="125"/>
    </row>
    <row r="6" spans="1:18" ht="16.5" customHeight="1" x14ac:dyDescent="0.25">
      <c r="A6" s="111"/>
      <c r="B6" s="111"/>
      <c r="C6" s="22" t="s">
        <v>50</v>
      </c>
      <c r="D6" s="22" t="s">
        <v>43</v>
      </c>
      <c r="E6" s="22" t="s">
        <v>50</v>
      </c>
      <c r="F6" s="22" t="s">
        <v>43</v>
      </c>
      <c r="G6" s="22" t="s">
        <v>50</v>
      </c>
      <c r="H6" s="22" t="s">
        <v>43</v>
      </c>
      <c r="I6" s="22" t="s">
        <v>50</v>
      </c>
      <c r="J6" s="22" t="s">
        <v>43</v>
      </c>
      <c r="K6" s="22" t="s">
        <v>50</v>
      </c>
      <c r="L6" s="22" t="s">
        <v>43</v>
      </c>
      <c r="M6" s="22" t="s">
        <v>50</v>
      </c>
      <c r="N6" s="22" t="s">
        <v>43</v>
      </c>
      <c r="O6" s="22" t="s">
        <v>50</v>
      </c>
      <c r="P6" s="22" t="s">
        <v>43</v>
      </c>
      <c r="Q6" s="22" t="s">
        <v>50</v>
      </c>
      <c r="R6" s="22" t="s">
        <v>43</v>
      </c>
    </row>
    <row r="7" spans="1:18" ht="15.95" customHeight="1" x14ac:dyDescent="0.25">
      <c r="A7" s="25" t="s">
        <v>7</v>
      </c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8"/>
    </row>
    <row r="8" spans="1:18" ht="15.95" customHeight="1" x14ac:dyDescent="0.25">
      <c r="A8" s="15" t="s">
        <v>8</v>
      </c>
      <c r="B8" s="18" t="s">
        <v>9</v>
      </c>
      <c r="C8" s="91">
        <v>301803</v>
      </c>
      <c r="D8" s="78">
        <f>C8*100/501199</f>
        <v>60.21620154868625</v>
      </c>
      <c r="E8" s="45">
        <v>73857</v>
      </c>
      <c r="F8" s="20">
        <f>E8*100/164112</f>
        <v>45.004021643755486</v>
      </c>
      <c r="G8" s="45">
        <v>227946</v>
      </c>
      <c r="H8" s="20">
        <f>G8*100/337087</f>
        <v>67.622305220907364</v>
      </c>
      <c r="I8" s="45" t="s">
        <v>11</v>
      </c>
      <c r="J8" s="20" t="s">
        <v>11</v>
      </c>
      <c r="K8" s="45">
        <v>103004</v>
      </c>
      <c r="L8" s="90">
        <f>K8*100/501199</f>
        <v>20.551517461128213</v>
      </c>
      <c r="M8" s="45">
        <v>59826</v>
      </c>
      <c r="N8" s="78">
        <f>M8*100/164112</f>
        <v>36.454372623574145</v>
      </c>
      <c r="O8" s="45">
        <v>43178</v>
      </c>
      <c r="P8" s="78">
        <f>O8*100/411233</f>
        <v>10.499643754270693</v>
      </c>
      <c r="Q8" s="77" t="s">
        <v>11</v>
      </c>
      <c r="R8" s="78" t="s">
        <v>11</v>
      </c>
    </row>
    <row r="9" spans="1:18" ht="15.95" customHeight="1" x14ac:dyDescent="0.25">
      <c r="A9" s="15" t="s">
        <v>12</v>
      </c>
      <c r="B9" s="18" t="s">
        <v>13</v>
      </c>
      <c r="C9" s="45">
        <v>120975</v>
      </c>
      <c r="D9" s="20">
        <f>C9*100/198271</f>
        <v>61.014974454156182</v>
      </c>
      <c r="E9" s="45">
        <v>24038</v>
      </c>
      <c r="F9" s="20">
        <f>E9*100/28614</f>
        <v>84.007828335779692</v>
      </c>
      <c r="G9" s="16">
        <v>7987</v>
      </c>
      <c r="H9" s="20">
        <f>G9*100/17306</f>
        <v>46.151623714318731</v>
      </c>
      <c r="I9" s="16">
        <v>88950</v>
      </c>
      <c r="J9" s="20">
        <f>I9*100/152351</f>
        <v>58.38491378461579</v>
      </c>
      <c r="K9" s="77">
        <v>77296</v>
      </c>
      <c r="L9" s="78">
        <f>K9*100/198271</f>
        <v>38.985025545843818</v>
      </c>
      <c r="M9" s="77">
        <v>4576</v>
      </c>
      <c r="N9" s="78">
        <f>M9*100/28614</f>
        <v>15.992171664220312</v>
      </c>
      <c r="O9" s="77">
        <v>9319</v>
      </c>
      <c r="P9" s="78">
        <f>O9*100/17306</f>
        <v>53.848376285681269</v>
      </c>
      <c r="Q9" s="77">
        <v>63401</v>
      </c>
      <c r="R9" s="78">
        <f>Q9*100/152351</f>
        <v>41.61508621538421</v>
      </c>
    </row>
    <row r="10" spans="1:18" ht="15.95" customHeight="1" x14ac:dyDescent="0.25">
      <c r="A10" s="15" t="s">
        <v>14</v>
      </c>
      <c r="B10" s="18" t="s">
        <v>15</v>
      </c>
      <c r="C10" s="45">
        <v>83574</v>
      </c>
      <c r="D10" s="20">
        <f>C10*100/149164</f>
        <v>56.028264192432488</v>
      </c>
      <c r="E10" s="45">
        <v>26820</v>
      </c>
      <c r="F10" s="20">
        <f>E10*100/43708</f>
        <v>61.361764436716392</v>
      </c>
      <c r="G10" s="16">
        <v>9076</v>
      </c>
      <c r="H10" s="20">
        <f>G10*100/18198</f>
        <v>49.873612484888447</v>
      </c>
      <c r="I10" s="16">
        <v>47678</v>
      </c>
      <c r="J10" s="20">
        <f>I10*100/87258</f>
        <v>54.640262210914756</v>
      </c>
      <c r="K10" s="77">
        <v>65590</v>
      </c>
      <c r="L10" s="78">
        <f>K10*100/149164</f>
        <v>43.971735807567512</v>
      </c>
      <c r="M10" s="77">
        <v>16888</v>
      </c>
      <c r="N10" s="78">
        <f>M10*100/43708</f>
        <v>38.638235563283608</v>
      </c>
      <c r="O10" s="77">
        <v>9122</v>
      </c>
      <c r="P10" s="78">
        <f>O10*100/18198</f>
        <v>50.126387515111553</v>
      </c>
      <c r="Q10" s="77">
        <v>39580</v>
      </c>
      <c r="R10" s="78">
        <f>Q10*100/87258</f>
        <v>45.359737789085244</v>
      </c>
    </row>
    <row r="11" spans="1:18" ht="15.95" customHeight="1" x14ac:dyDescent="0.25">
      <c r="A11" s="15" t="s">
        <v>16</v>
      </c>
      <c r="B11" s="18" t="s">
        <v>17</v>
      </c>
      <c r="C11" s="45">
        <v>11446</v>
      </c>
      <c r="D11" s="20">
        <f>11483*100/18862</f>
        <v>60.87901601102746</v>
      </c>
      <c r="E11" s="45">
        <v>4544</v>
      </c>
      <c r="F11" s="20">
        <f>E11*100/7348</f>
        <v>61.839956450734896</v>
      </c>
      <c r="G11" s="16">
        <v>6902</v>
      </c>
      <c r="H11" s="20">
        <f>G11*100/11514</f>
        <v>59.944415494180994</v>
      </c>
      <c r="I11" s="16" t="s">
        <v>11</v>
      </c>
      <c r="J11" s="20" t="s">
        <v>11</v>
      </c>
      <c r="K11" s="77">
        <v>1565</v>
      </c>
      <c r="L11" s="78">
        <f>K11*100/18862</f>
        <v>8.2971052910613938</v>
      </c>
      <c r="M11" s="77">
        <v>1162</v>
      </c>
      <c r="N11" s="78">
        <f>M11*100/7348</f>
        <v>15.813826891671203</v>
      </c>
      <c r="O11" s="77">
        <v>403</v>
      </c>
      <c r="P11" s="78">
        <f>O11*100/11514</f>
        <v>3.5000868507903422</v>
      </c>
      <c r="Q11" s="77" t="s">
        <v>11</v>
      </c>
      <c r="R11" s="78" t="s">
        <v>11</v>
      </c>
    </row>
    <row r="12" spans="1:18" ht="15.95" customHeight="1" x14ac:dyDescent="0.25">
      <c r="A12" s="15" t="s">
        <v>18</v>
      </c>
      <c r="B12" s="18" t="s">
        <v>19</v>
      </c>
      <c r="C12" s="45">
        <v>43404</v>
      </c>
      <c r="D12" s="20">
        <f>C12*100/82110</f>
        <v>52.860796492510048</v>
      </c>
      <c r="E12" s="45">
        <v>43404</v>
      </c>
      <c r="F12" s="20">
        <f>E12*100/82110</f>
        <v>52.860796492510048</v>
      </c>
      <c r="G12" s="16" t="s">
        <v>11</v>
      </c>
      <c r="H12" s="20" t="s">
        <v>11</v>
      </c>
      <c r="I12" s="16" t="s">
        <v>11</v>
      </c>
      <c r="J12" s="20" t="s">
        <v>11</v>
      </c>
      <c r="K12" s="45">
        <v>38268</v>
      </c>
      <c r="L12" s="78">
        <f>K12*100/82110</f>
        <v>46.605772743880159</v>
      </c>
      <c r="M12" s="45">
        <v>38268</v>
      </c>
      <c r="N12" s="78">
        <f>M12*100/82110</f>
        <v>46.605772743880159</v>
      </c>
      <c r="O12" s="77" t="s">
        <v>11</v>
      </c>
      <c r="P12" s="78" t="s">
        <v>11</v>
      </c>
      <c r="Q12" s="77" t="s">
        <v>11</v>
      </c>
      <c r="R12" s="78" t="s">
        <v>11</v>
      </c>
    </row>
    <row r="13" spans="1:18" ht="15.95" customHeight="1" x14ac:dyDescent="0.25">
      <c r="A13" s="15" t="s">
        <v>20</v>
      </c>
      <c r="B13" s="18" t="s">
        <v>21</v>
      </c>
      <c r="C13" s="45">
        <v>32956</v>
      </c>
      <c r="D13" s="20">
        <f>C13*100/104889</f>
        <v>31.419881970464015</v>
      </c>
      <c r="E13" s="45">
        <v>11485</v>
      </c>
      <c r="F13" s="20">
        <f>E13*100/33800</f>
        <v>33.979289940828401</v>
      </c>
      <c r="G13" s="45">
        <v>2283</v>
      </c>
      <c r="H13" s="20">
        <f>G13*100/4174</f>
        <v>54.695735505510299</v>
      </c>
      <c r="I13" s="45">
        <v>19188</v>
      </c>
      <c r="J13" s="20">
        <f>I13*100/66915</f>
        <v>28.675184936112981</v>
      </c>
      <c r="K13" s="45">
        <v>4621</v>
      </c>
      <c r="L13" s="78">
        <f>K13*100/104889</f>
        <v>4.405609739820191</v>
      </c>
      <c r="M13" s="45">
        <v>2218</v>
      </c>
      <c r="N13" s="78">
        <f>M13*100/33800</f>
        <v>6.5621301775147929</v>
      </c>
      <c r="O13" s="45">
        <v>91</v>
      </c>
      <c r="P13" s="78">
        <f>O13*100/4174</f>
        <v>2.1801629132726403</v>
      </c>
      <c r="Q13" s="45">
        <v>2312</v>
      </c>
      <c r="R13" s="78">
        <f>Q13*100/66915</f>
        <v>3.4551296420832398</v>
      </c>
    </row>
    <row r="14" spans="1:18" ht="15.95" customHeight="1" x14ac:dyDescent="0.25">
      <c r="A14" s="15" t="s">
        <v>22</v>
      </c>
      <c r="B14" s="18" t="s">
        <v>23</v>
      </c>
      <c r="C14" s="45">
        <v>78910</v>
      </c>
      <c r="D14" s="20">
        <f>C14*100/147467</f>
        <v>53.510276875504353</v>
      </c>
      <c r="E14" s="45">
        <v>20308</v>
      </c>
      <c r="F14" s="20">
        <f>E14*100/34717</f>
        <v>58.49583777400121</v>
      </c>
      <c r="G14" s="16" t="s">
        <v>11</v>
      </c>
      <c r="H14" s="20" t="s">
        <v>11</v>
      </c>
      <c r="I14" s="16">
        <v>58602</v>
      </c>
      <c r="J14" s="20">
        <f>I14*100/112750</f>
        <v>51.975166297117518</v>
      </c>
      <c r="K14" s="77">
        <v>20474</v>
      </c>
      <c r="L14" s="78">
        <f>K14*100/147467</f>
        <v>13.883784168661464</v>
      </c>
      <c r="M14" s="77">
        <v>8007</v>
      </c>
      <c r="N14" s="78">
        <f>M14*100/34717</f>
        <v>23.063628769766972</v>
      </c>
      <c r="O14" s="77" t="s">
        <v>11</v>
      </c>
      <c r="P14" s="78" t="s">
        <v>11</v>
      </c>
      <c r="Q14" s="77">
        <v>12467</v>
      </c>
      <c r="R14" s="78">
        <f>Q14*100/112750</f>
        <v>11.05720620842572</v>
      </c>
    </row>
    <row r="15" spans="1:18" ht="15.95" customHeight="1" x14ac:dyDescent="0.25">
      <c r="A15" s="158" t="s">
        <v>30</v>
      </c>
      <c r="B15" s="158"/>
      <c r="C15" s="21">
        <f t="shared" ref="C15:R15" si="0">SUM(C8:C14)</f>
        <v>673068</v>
      </c>
      <c r="D15" s="39">
        <f t="shared" si="0"/>
        <v>375.92941154478081</v>
      </c>
      <c r="E15" s="21">
        <f t="shared" si="0"/>
        <v>204456</v>
      </c>
      <c r="F15" s="39">
        <f t="shared" si="0"/>
        <v>397.54949507432605</v>
      </c>
      <c r="G15" s="21">
        <f t="shared" si="0"/>
        <v>254194</v>
      </c>
      <c r="H15" s="39">
        <f t="shared" si="0"/>
        <v>278.28769241980581</v>
      </c>
      <c r="I15" s="21">
        <f t="shared" si="0"/>
        <v>214418</v>
      </c>
      <c r="J15" s="39">
        <f t="shared" si="0"/>
        <v>193.67552722876104</v>
      </c>
      <c r="K15" s="58">
        <f t="shared" si="0"/>
        <v>310818</v>
      </c>
      <c r="L15" s="72">
        <f t="shared" si="0"/>
        <v>176.70055075796276</v>
      </c>
      <c r="M15" s="58">
        <f t="shared" si="0"/>
        <v>130945</v>
      </c>
      <c r="N15" s="72">
        <f t="shared" si="0"/>
        <v>183.13013843391118</v>
      </c>
      <c r="O15" s="58">
        <f t="shared" si="0"/>
        <v>62113</v>
      </c>
      <c r="P15" s="72">
        <f t="shared" si="0"/>
        <v>120.1546573191265</v>
      </c>
      <c r="Q15" s="59">
        <f t="shared" si="0"/>
        <v>117760</v>
      </c>
      <c r="R15" s="72">
        <f t="shared" si="0"/>
        <v>101.48715985497842</v>
      </c>
    </row>
    <row r="16" spans="1:18" ht="15.75" customHeight="1" x14ac:dyDescent="0.25">
      <c r="A16" s="160" t="s">
        <v>32</v>
      </c>
      <c r="B16" s="160"/>
      <c r="C16" s="21">
        <f>C15/7</f>
        <v>96152.571428571435</v>
      </c>
      <c r="D16" s="39">
        <f>D15/7</f>
        <v>53.704201649254401</v>
      </c>
      <c r="E16" s="21">
        <f>E15/7</f>
        <v>29208</v>
      </c>
      <c r="F16" s="39">
        <f>F15/7</f>
        <v>56.792785010618005</v>
      </c>
      <c r="G16" s="54">
        <f>G15/5</f>
        <v>50838.8</v>
      </c>
      <c r="H16" s="39">
        <f>H15/5</f>
        <v>55.657538483961162</v>
      </c>
      <c r="I16" s="54">
        <f>I15/4</f>
        <v>53604.5</v>
      </c>
      <c r="J16" s="39">
        <f>J15/4</f>
        <v>48.41888180719026</v>
      </c>
      <c r="K16" s="59">
        <f>K15/7</f>
        <v>44402.571428571428</v>
      </c>
      <c r="L16" s="72">
        <f>L15/7</f>
        <v>25.242935822566107</v>
      </c>
      <c r="M16" s="59">
        <f>M15/7</f>
        <v>18706.428571428572</v>
      </c>
      <c r="N16" s="72">
        <f>N15/7</f>
        <v>26.161448347701597</v>
      </c>
      <c r="O16" s="59">
        <f>O15/5</f>
        <v>12422.6</v>
      </c>
      <c r="P16" s="72">
        <f>P15/5</f>
        <v>24.030931463825301</v>
      </c>
      <c r="Q16" s="59">
        <f>Q15/4</f>
        <v>29440</v>
      </c>
      <c r="R16" s="72">
        <f>R15/4</f>
        <v>25.371789963744604</v>
      </c>
    </row>
    <row r="17" spans="1:18" ht="15.95" customHeight="1" x14ac:dyDescent="0.25">
      <c r="A17" s="134" t="s">
        <v>24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6"/>
    </row>
    <row r="18" spans="1:18" ht="15.95" customHeight="1" x14ac:dyDescent="0.25">
      <c r="A18" s="15" t="s">
        <v>8</v>
      </c>
      <c r="B18" s="18" t="s">
        <v>25</v>
      </c>
      <c r="C18" s="45">
        <v>65219</v>
      </c>
      <c r="D18" s="20">
        <f>C18*100/123158</f>
        <v>52.955553029441852</v>
      </c>
      <c r="E18" s="45">
        <v>17548</v>
      </c>
      <c r="F18" s="20">
        <f>E18*100/28104</f>
        <v>62.439510389980072</v>
      </c>
      <c r="G18" s="16">
        <v>6391</v>
      </c>
      <c r="H18" s="20">
        <f>G18*100/7864</f>
        <v>81.269074262461857</v>
      </c>
      <c r="I18" s="16">
        <v>41280</v>
      </c>
      <c r="J18" s="20">
        <f>I18*100/87190</f>
        <v>47.34487899988531</v>
      </c>
      <c r="K18" s="77">
        <v>42309</v>
      </c>
      <c r="L18" s="78">
        <f>K18*100/123158</f>
        <v>34.353432176553696</v>
      </c>
      <c r="M18" s="77">
        <v>10556</v>
      </c>
      <c r="N18" s="78">
        <f>M18*100/28104</f>
        <v>37.560489610019928</v>
      </c>
      <c r="O18" s="77">
        <v>3334</v>
      </c>
      <c r="P18" s="78">
        <f>O18*100/7864</f>
        <v>42.395727365208543</v>
      </c>
      <c r="Q18" s="77">
        <v>28419</v>
      </c>
      <c r="R18" s="78">
        <f>65005*100/87190</f>
        <v>74.555568299116871</v>
      </c>
    </row>
    <row r="19" spans="1:18" ht="15.95" customHeight="1" x14ac:dyDescent="0.25">
      <c r="A19" s="15" t="s">
        <v>12</v>
      </c>
      <c r="B19" s="18" t="s">
        <v>26</v>
      </c>
      <c r="C19" s="45">
        <v>6170</v>
      </c>
      <c r="D19" s="20">
        <f>C19*100/26481</f>
        <v>23.299724330652165</v>
      </c>
      <c r="E19" s="45">
        <v>0</v>
      </c>
      <c r="F19" s="45">
        <v>0</v>
      </c>
      <c r="G19" s="16" t="s">
        <v>11</v>
      </c>
      <c r="H19" s="20" t="s">
        <v>11</v>
      </c>
      <c r="I19" s="16">
        <v>6170</v>
      </c>
      <c r="J19" s="20">
        <f>I19*100/26481</f>
        <v>23.299724330652165</v>
      </c>
      <c r="K19" s="77">
        <v>778</v>
      </c>
      <c r="L19" s="78">
        <f>K19*100/26481</f>
        <v>2.9379555152751031</v>
      </c>
      <c r="M19" s="77">
        <v>0</v>
      </c>
      <c r="N19" s="62">
        <v>0</v>
      </c>
      <c r="O19" s="77" t="s">
        <v>11</v>
      </c>
      <c r="P19" s="78" t="s">
        <v>11</v>
      </c>
      <c r="Q19" s="77">
        <v>778</v>
      </c>
      <c r="R19" s="78">
        <f>Q19*100/26481</f>
        <v>2.9379555152751031</v>
      </c>
    </row>
    <row r="20" spans="1:18" ht="15.95" customHeight="1" x14ac:dyDescent="0.25">
      <c r="A20" s="15" t="s">
        <v>14</v>
      </c>
      <c r="B20" s="18" t="s">
        <v>27</v>
      </c>
      <c r="C20" s="45">
        <v>38373</v>
      </c>
      <c r="D20" s="20">
        <f>C20*100/94190</f>
        <v>40.739993629897015</v>
      </c>
      <c r="E20" s="45">
        <v>13036</v>
      </c>
      <c r="F20" s="20">
        <f>E20*100/31633</f>
        <v>41.210128663104989</v>
      </c>
      <c r="G20" s="16" t="s">
        <v>11</v>
      </c>
      <c r="H20" s="20" t="s">
        <v>11</v>
      </c>
      <c r="I20" s="16">
        <v>25337</v>
      </c>
      <c r="J20" s="20">
        <f>I20*100/62557</f>
        <v>40.502261937113353</v>
      </c>
      <c r="K20" s="77">
        <v>6180</v>
      </c>
      <c r="L20" s="78">
        <f>K20*100/94190</f>
        <v>6.5612060728315109</v>
      </c>
      <c r="M20" s="77">
        <v>2702</v>
      </c>
      <c r="N20" s="78">
        <f>M20*100/31633</f>
        <v>8.541712768311573</v>
      </c>
      <c r="O20" s="77" t="s">
        <v>11</v>
      </c>
      <c r="P20" s="78" t="s">
        <v>11</v>
      </c>
      <c r="Q20" s="77">
        <v>3478</v>
      </c>
      <c r="R20" s="78">
        <f>Q20*100/62557</f>
        <v>5.5597295266716751</v>
      </c>
    </row>
    <row r="21" spans="1:18" ht="15.95" customHeight="1" x14ac:dyDescent="0.25">
      <c r="A21" s="15" t="s">
        <v>16</v>
      </c>
      <c r="B21" s="18" t="s">
        <v>28</v>
      </c>
      <c r="C21" s="45">
        <v>78262</v>
      </c>
      <c r="D21" s="20">
        <f>C21*100/128797</f>
        <v>60.763837667026408</v>
      </c>
      <c r="E21" s="45">
        <v>31846</v>
      </c>
      <c r="F21" s="20">
        <f>E21*100/51128</f>
        <v>62.286809575966203</v>
      </c>
      <c r="G21" s="16">
        <v>5151</v>
      </c>
      <c r="H21" s="20">
        <f>G21*100/8280</f>
        <v>62.210144927536234</v>
      </c>
      <c r="I21" s="16">
        <v>41265</v>
      </c>
      <c r="J21" s="20">
        <f>I21*100/69389</f>
        <v>59.469080113562669</v>
      </c>
      <c r="K21" s="77">
        <v>17045</v>
      </c>
      <c r="L21" s="78">
        <f>K21*100/128797</f>
        <v>13.234003897606311</v>
      </c>
      <c r="M21" s="77">
        <v>7950</v>
      </c>
      <c r="N21" s="78">
        <f>M21*100/51128</f>
        <v>15.549209826318259</v>
      </c>
      <c r="O21" s="77">
        <v>1009</v>
      </c>
      <c r="P21" s="78">
        <f>O21*100/8280</f>
        <v>12.185990338164251</v>
      </c>
      <c r="Q21" s="77">
        <v>8086</v>
      </c>
      <c r="R21" s="78">
        <f>Q21*100/69389</f>
        <v>11.653143870065861</v>
      </c>
    </row>
    <row r="22" spans="1:18" ht="15.95" customHeight="1" x14ac:dyDescent="0.25">
      <c r="A22" s="158" t="s">
        <v>30</v>
      </c>
      <c r="B22" s="158"/>
      <c r="C22" s="21">
        <f t="shared" ref="C22:R22" si="1">SUM(C18:C21)</f>
        <v>188024</v>
      </c>
      <c r="D22" s="39">
        <f t="shared" si="1"/>
        <v>177.75910865701744</v>
      </c>
      <c r="E22" s="21">
        <f t="shared" si="1"/>
        <v>62430</v>
      </c>
      <c r="F22" s="39">
        <f t="shared" si="1"/>
        <v>165.93644862905126</v>
      </c>
      <c r="G22" s="54">
        <f t="shared" si="1"/>
        <v>11542</v>
      </c>
      <c r="H22" s="39">
        <f t="shared" si="1"/>
        <v>143.4792191899981</v>
      </c>
      <c r="I22" s="54">
        <f t="shared" si="1"/>
        <v>114052</v>
      </c>
      <c r="J22" s="39">
        <f t="shared" si="1"/>
        <v>170.61594538121352</v>
      </c>
      <c r="K22" s="59">
        <f t="shared" si="1"/>
        <v>66312</v>
      </c>
      <c r="L22" s="72">
        <f t="shared" si="1"/>
        <v>57.086597662266627</v>
      </c>
      <c r="M22" s="59">
        <f t="shared" si="1"/>
        <v>21208</v>
      </c>
      <c r="N22" s="72">
        <f t="shared" si="1"/>
        <v>61.651412204649759</v>
      </c>
      <c r="O22" s="59">
        <f t="shared" si="1"/>
        <v>4343</v>
      </c>
      <c r="P22" s="72">
        <f t="shared" si="1"/>
        <v>54.581717703372796</v>
      </c>
      <c r="Q22" s="59">
        <f t="shared" si="1"/>
        <v>40761</v>
      </c>
      <c r="R22" s="72">
        <f t="shared" si="1"/>
        <v>94.706397211129513</v>
      </c>
    </row>
    <row r="23" spans="1:18" ht="15.95" customHeight="1" x14ac:dyDescent="0.25">
      <c r="A23" s="160" t="s">
        <v>32</v>
      </c>
      <c r="B23" s="160"/>
      <c r="C23" s="21">
        <f>C22/4</f>
        <v>47006</v>
      </c>
      <c r="D23" s="39">
        <f>D22/4</f>
        <v>44.439777164254359</v>
      </c>
      <c r="E23" s="21">
        <f>E22/4</f>
        <v>15607.5</v>
      </c>
      <c r="F23" s="39">
        <f>F22/4</f>
        <v>41.484112157262814</v>
      </c>
      <c r="G23" s="54">
        <f>G22/2</f>
        <v>5771</v>
      </c>
      <c r="H23" s="39">
        <f>H22/2</f>
        <v>71.739609594999052</v>
      </c>
      <c r="I23" s="54">
        <f t="shared" ref="I23:N23" si="2">I22/4</f>
        <v>28513</v>
      </c>
      <c r="J23" s="39">
        <f t="shared" si="2"/>
        <v>42.65398634530338</v>
      </c>
      <c r="K23" s="59">
        <f t="shared" si="2"/>
        <v>16578</v>
      </c>
      <c r="L23" s="72">
        <f t="shared" si="2"/>
        <v>14.271649415566657</v>
      </c>
      <c r="M23" s="59">
        <f t="shared" si="2"/>
        <v>5302</v>
      </c>
      <c r="N23" s="72">
        <f t="shared" si="2"/>
        <v>15.41285305116244</v>
      </c>
      <c r="O23" s="59">
        <f>O22/2</f>
        <v>2171.5</v>
      </c>
      <c r="P23" s="72">
        <f>P22/2</f>
        <v>27.290858851686398</v>
      </c>
      <c r="Q23" s="59">
        <f>Q22/4</f>
        <v>10190.25</v>
      </c>
      <c r="R23" s="72">
        <f>R22/4</f>
        <v>23.676599302782378</v>
      </c>
    </row>
    <row r="24" spans="1:18" ht="28.5" customHeight="1" x14ac:dyDescent="0.25">
      <c r="A24" s="159" t="s">
        <v>29</v>
      </c>
      <c r="B24" s="159"/>
      <c r="C24" s="51">
        <f t="shared" ref="C24:H24" si="3">SUM(C15,C22)</f>
        <v>861092</v>
      </c>
      <c r="D24" s="65">
        <f t="shared" si="3"/>
        <v>553.68852020179827</v>
      </c>
      <c r="E24" s="51">
        <f t="shared" si="3"/>
        <v>266886</v>
      </c>
      <c r="F24" s="65">
        <f t="shared" si="3"/>
        <v>563.4859437033773</v>
      </c>
      <c r="G24" s="51">
        <f t="shared" si="3"/>
        <v>265736</v>
      </c>
      <c r="H24" s="65">
        <f t="shared" si="3"/>
        <v>421.76691160980391</v>
      </c>
      <c r="I24" s="65">
        <f>SUM(J15,J22)</f>
        <v>364.29147260997456</v>
      </c>
      <c r="J24" s="65">
        <f t="shared" ref="J24:R24" si="4">SUM(J15,J22)</f>
        <v>364.29147260997456</v>
      </c>
      <c r="K24" s="61">
        <f t="shared" si="4"/>
        <v>377130</v>
      </c>
      <c r="L24" s="73">
        <f t="shared" si="4"/>
        <v>233.78714842022939</v>
      </c>
      <c r="M24" s="61">
        <f t="shared" si="4"/>
        <v>152153</v>
      </c>
      <c r="N24" s="73">
        <f t="shared" si="4"/>
        <v>244.78155063856093</v>
      </c>
      <c r="O24" s="61">
        <f t="shared" si="4"/>
        <v>66456</v>
      </c>
      <c r="P24" s="73">
        <f t="shared" si="4"/>
        <v>174.73637502249929</v>
      </c>
      <c r="Q24" s="79">
        <f t="shared" si="4"/>
        <v>158521</v>
      </c>
      <c r="R24" s="73">
        <f t="shared" si="4"/>
        <v>196.19355706610793</v>
      </c>
    </row>
    <row r="25" spans="1:18" ht="35.25" customHeight="1" x14ac:dyDescent="0.25">
      <c r="A25" s="104" t="s">
        <v>31</v>
      </c>
      <c r="B25" s="105"/>
      <c r="C25" s="51">
        <f>C24/11</f>
        <v>78281.090909090912</v>
      </c>
      <c r="D25" s="65">
        <f>D24/11</f>
        <v>50.3353200183453</v>
      </c>
      <c r="E25" s="51">
        <f>E24/11</f>
        <v>24262.363636363636</v>
      </c>
      <c r="F25" s="65">
        <f>F24/11</f>
        <v>51.225994882125207</v>
      </c>
      <c r="G25" s="51">
        <f>G24/7</f>
        <v>37962.285714285717</v>
      </c>
      <c r="H25" s="80">
        <f>H24/7</f>
        <v>60.252415944257699</v>
      </c>
      <c r="I25" s="51">
        <f>I24/8</f>
        <v>45.53643407624682</v>
      </c>
      <c r="J25" s="65">
        <f>J24/8</f>
        <v>45.53643407624682</v>
      </c>
      <c r="K25" s="79">
        <f>K24/11</f>
        <v>34284.545454545456</v>
      </c>
      <c r="L25" s="73">
        <f>L24/11</f>
        <v>21.253377129111762</v>
      </c>
      <c r="M25" s="79">
        <f>M24/11</f>
        <v>13832.09090909091</v>
      </c>
      <c r="N25" s="73">
        <f>N24/11</f>
        <v>22.252868239869176</v>
      </c>
      <c r="O25" s="79">
        <f>O24/7</f>
        <v>9493.7142857142862</v>
      </c>
      <c r="P25" s="73">
        <f>P24/7</f>
        <v>24.962339288928469</v>
      </c>
      <c r="Q25" s="79">
        <f>Q24/8</f>
        <v>19815.125</v>
      </c>
      <c r="R25" s="73">
        <f>R24/8</f>
        <v>24.524194633263491</v>
      </c>
    </row>
    <row r="27" spans="1:18" x14ac:dyDescent="0.25">
      <c r="A27" t="s">
        <v>66</v>
      </c>
    </row>
    <row r="29" spans="1:18" ht="28.5" x14ac:dyDescent="0.45">
      <c r="J29" s="82"/>
    </row>
  </sheetData>
  <mergeCells count="20">
    <mergeCell ref="A2:R2"/>
    <mergeCell ref="C4:J4"/>
    <mergeCell ref="K4:R4"/>
    <mergeCell ref="K5:L5"/>
    <mergeCell ref="M5:N5"/>
    <mergeCell ref="O5:P5"/>
    <mergeCell ref="Q5:R5"/>
    <mergeCell ref="G5:H5"/>
    <mergeCell ref="I5:J5"/>
    <mergeCell ref="A22:B22"/>
    <mergeCell ref="A24:B24"/>
    <mergeCell ref="A25:B25"/>
    <mergeCell ref="C5:D5"/>
    <mergeCell ref="E5:F5"/>
    <mergeCell ref="A17:R17"/>
    <mergeCell ref="A15:B15"/>
    <mergeCell ref="A4:A6"/>
    <mergeCell ref="B4:B6"/>
    <mergeCell ref="A16:B16"/>
    <mergeCell ref="A23:B23"/>
  </mergeCells>
  <pageMargins left="0.70000000000000007" right="0.70000000000000007" top="0.75" bottom="0.75" header="0.30000000000000004" footer="0.30000000000000004"/>
  <pageSetup orientation="portrait" r:id="rId1"/>
  <ignoredErrors>
    <ignoredError sqref="I24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J29"/>
  <sheetViews>
    <sheetView workbookViewId="0">
      <selection activeCell="O24" sqref="O24"/>
    </sheetView>
  </sheetViews>
  <sheetFormatPr defaultRowHeight="15" x14ac:dyDescent="0.25"/>
  <cols>
    <col min="1" max="1" width="5.28515625" customWidth="1"/>
    <col min="2" max="2" width="28.140625" customWidth="1"/>
    <col min="3" max="3" width="8.7109375" customWidth="1"/>
    <col min="4" max="4" width="9.7109375" customWidth="1"/>
    <col min="5" max="5" width="8.7109375" customWidth="1"/>
    <col min="6" max="6" width="8.140625" customWidth="1"/>
    <col min="7" max="7" width="8.42578125" customWidth="1"/>
    <col min="8" max="8" width="8.140625" customWidth="1"/>
    <col min="9" max="9" width="8.5703125" customWidth="1"/>
    <col min="10" max="10" width="8.140625" customWidth="1"/>
  </cols>
  <sheetData>
    <row r="2" spans="1:10" ht="15.75" x14ac:dyDescent="0.25">
      <c r="A2" s="144" t="s">
        <v>54</v>
      </c>
      <c r="B2" s="144"/>
      <c r="C2" s="144"/>
      <c r="D2" s="144"/>
      <c r="E2" s="144"/>
      <c r="F2" s="144"/>
      <c r="G2" s="144"/>
      <c r="H2" s="144"/>
      <c r="I2" s="144"/>
      <c r="J2" s="144"/>
    </row>
    <row r="3" spans="1:10" ht="15.75" x14ac:dyDescent="0.25">
      <c r="A3" s="144" t="s">
        <v>82</v>
      </c>
      <c r="B3" s="144"/>
      <c r="C3" s="144"/>
      <c r="D3" s="144"/>
      <c r="E3" s="144"/>
      <c r="F3" s="144"/>
      <c r="G3" s="144"/>
      <c r="H3" s="144"/>
      <c r="I3" s="144"/>
      <c r="J3" s="144"/>
    </row>
    <row r="4" spans="1:10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0" ht="15.95" customHeight="1" x14ac:dyDescent="0.25">
      <c r="A5" s="111" t="s">
        <v>0</v>
      </c>
      <c r="B5" s="111" t="s">
        <v>1</v>
      </c>
      <c r="C5" s="111" t="s">
        <v>53</v>
      </c>
      <c r="D5" s="111"/>
      <c r="E5" s="111"/>
      <c r="F5" s="111"/>
      <c r="G5" s="111"/>
      <c r="H5" s="111"/>
      <c r="I5" s="111"/>
      <c r="J5" s="111"/>
    </row>
    <row r="6" spans="1:10" ht="12.75" customHeight="1" x14ac:dyDescent="0.25">
      <c r="A6" s="111"/>
      <c r="B6" s="111"/>
      <c r="C6" s="128" t="s">
        <v>47</v>
      </c>
      <c r="D6" s="126"/>
      <c r="E6" s="128" t="s">
        <v>3</v>
      </c>
      <c r="F6" s="126"/>
      <c r="G6" s="128" t="s">
        <v>45</v>
      </c>
      <c r="H6" s="126"/>
      <c r="I6" s="128" t="s">
        <v>46</v>
      </c>
      <c r="J6" s="126"/>
    </row>
    <row r="7" spans="1:10" ht="15" customHeight="1" x14ac:dyDescent="0.25">
      <c r="A7" s="111"/>
      <c r="B7" s="111"/>
      <c r="C7" s="130"/>
      <c r="D7" s="127"/>
      <c r="E7" s="130"/>
      <c r="F7" s="127"/>
      <c r="G7" s="130"/>
      <c r="H7" s="127"/>
      <c r="I7" s="130"/>
      <c r="J7" s="127"/>
    </row>
    <row r="8" spans="1:10" ht="18" customHeight="1" x14ac:dyDescent="0.25">
      <c r="A8" s="111"/>
      <c r="B8" s="111"/>
      <c r="C8" s="22" t="s">
        <v>50</v>
      </c>
      <c r="D8" s="22" t="s">
        <v>43</v>
      </c>
      <c r="E8" s="22" t="s">
        <v>50</v>
      </c>
      <c r="F8" s="22" t="s">
        <v>43</v>
      </c>
      <c r="G8" s="22" t="s">
        <v>50</v>
      </c>
      <c r="H8" s="22" t="s">
        <v>43</v>
      </c>
      <c r="I8" s="22" t="s">
        <v>50</v>
      </c>
      <c r="J8" s="22" t="s">
        <v>43</v>
      </c>
    </row>
    <row r="9" spans="1:10" ht="15.95" customHeight="1" x14ac:dyDescent="0.25">
      <c r="A9" s="134" t="s">
        <v>7</v>
      </c>
      <c r="B9" s="135"/>
      <c r="C9" s="135"/>
      <c r="D9" s="135"/>
      <c r="E9" s="135"/>
      <c r="F9" s="135"/>
      <c r="G9" s="135"/>
      <c r="H9" s="135"/>
      <c r="I9" s="135"/>
      <c r="J9" s="136"/>
    </row>
    <row r="10" spans="1:10" ht="15.95" customHeight="1" x14ac:dyDescent="0.25">
      <c r="A10" s="15" t="s">
        <v>8</v>
      </c>
      <c r="B10" s="18" t="s">
        <v>9</v>
      </c>
      <c r="C10" s="45">
        <v>96392</v>
      </c>
      <c r="D10" s="90">
        <f>C10*100/501199</f>
        <v>19.232280990185536</v>
      </c>
      <c r="E10" s="45">
        <v>26416</v>
      </c>
      <c r="F10" s="20">
        <f>E10*100/164112</f>
        <v>16.096324461343471</v>
      </c>
      <c r="G10" s="45">
        <v>69976</v>
      </c>
      <c r="H10" s="20">
        <f>G10*100/337087</f>
        <v>20.759032534627558</v>
      </c>
      <c r="I10" s="45" t="s">
        <v>11</v>
      </c>
      <c r="J10" s="20" t="s">
        <v>11</v>
      </c>
    </row>
    <row r="11" spans="1:10" ht="15.95" customHeight="1" x14ac:dyDescent="0.25">
      <c r="A11" s="15" t="s">
        <v>12</v>
      </c>
      <c r="B11" s="18" t="s">
        <v>13</v>
      </c>
      <c r="C11" s="45">
        <v>71816</v>
      </c>
      <c r="D11" s="20">
        <f>C11*100/198271</f>
        <v>36.221131683403016</v>
      </c>
      <c r="E11" s="45">
        <v>1886</v>
      </c>
      <c r="F11" s="20">
        <f>E11*100/28614</f>
        <v>6.5911791430768156</v>
      </c>
      <c r="G11" s="16">
        <v>8789</v>
      </c>
      <c r="H11" s="20">
        <f>G11*100/17306</f>
        <v>50.785854616895875</v>
      </c>
      <c r="I11" s="16">
        <v>61141</v>
      </c>
      <c r="J11" s="20">
        <f>I11*100/152351</f>
        <v>40.131669631311908</v>
      </c>
    </row>
    <row r="12" spans="1:10" ht="15.95" customHeight="1" x14ac:dyDescent="0.25">
      <c r="A12" s="15" t="s">
        <v>14</v>
      </c>
      <c r="B12" s="18" t="s">
        <v>15</v>
      </c>
      <c r="C12" s="45">
        <v>51462</v>
      </c>
      <c r="D12" s="20">
        <f>C12*100/149164</f>
        <v>34.500281569279451</v>
      </c>
      <c r="E12" s="45">
        <v>8536</v>
      </c>
      <c r="F12" s="20">
        <f>E12*100/43708</f>
        <v>19.529605564198775</v>
      </c>
      <c r="G12" s="16">
        <v>8345</v>
      </c>
      <c r="H12" s="20">
        <f>G12*100/18198</f>
        <v>45.856687548082206</v>
      </c>
      <c r="I12" s="16">
        <v>34581</v>
      </c>
      <c r="J12" s="20">
        <f>I12*100/87258</f>
        <v>39.630750189094407</v>
      </c>
    </row>
    <row r="13" spans="1:10" ht="15.95" customHeight="1" x14ac:dyDescent="0.25">
      <c r="A13" s="15" t="s">
        <v>16</v>
      </c>
      <c r="B13" s="18" t="s">
        <v>17</v>
      </c>
      <c r="C13" s="45">
        <v>5851</v>
      </c>
      <c r="D13" s="20">
        <f>C13*100/18862</f>
        <v>31.020040292651892</v>
      </c>
      <c r="E13" s="45">
        <v>1642</v>
      </c>
      <c r="F13" s="20">
        <f>E13*100/7348</f>
        <v>22.346216657593903</v>
      </c>
      <c r="G13" s="16">
        <v>4209</v>
      </c>
      <c r="H13" s="20">
        <f>G13*100/11514</f>
        <v>36.55549765502866</v>
      </c>
      <c r="I13" s="16" t="s">
        <v>11</v>
      </c>
      <c r="J13" s="20" t="s">
        <v>11</v>
      </c>
    </row>
    <row r="14" spans="1:10" ht="15.95" customHeight="1" x14ac:dyDescent="0.25">
      <c r="A14" s="15" t="s">
        <v>18</v>
      </c>
      <c r="B14" s="18" t="s">
        <v>19</v>
      </c>
      <c r="C14" s="45">
        <v>31124</v>
      </c>
      <c r="D14" s="20">
        <f>C14*100/82110</f>
        <v>37.9052490561442</v>
      </c>
      <c r="E14" s="45">
        <v>31124</v>
      </c>
      <c r="F14" s="20">
        <f>E14*100/182110</f>
        <v>17.090769315249027</v>
      </c>
      <c r="G14" s="45" t="s">
        <v>11</v>
      </c>
      <c r="H14" s="20" t="s">
        <v>11</v>
      </c>
      <c r="I14" s="45" t="s">
        <v>11</v>
      </c>
      <c r="J14" s="20" t="s">
        <v>11</v>
      </c>
    </row>
    <row r="15" spans="1:10" ht="15.95" customHeight="1" x14ac:dyDescent="0.25">
      <c r="A15" s="15" t="s">
        <v>20</v>
      </c>
      <c r="B15" s="18" t="s">
        <v>21</v>
      </c>
      <c r="C15" s="45">
        <v>67312</v>
      </c>
      <c r="D15" s="20">
        <f>C15*100/104889</f>
        <v>64.174508289715789</v>
      </c>
      <c r="E15" s="45">
        <v>20097</v>
      </c>
      <c r="F15" s="20">
        <f>E15*100/333800</f>
        <v>6.0206710605152782</v>
      </c>
      <c r="G15" s="45">
        <v>1800</v>
      </c>
      <c r="H15" s="20">
        <f>G15*100/4174</f>
        <v>43.124101581217055</v>
      </c>
      <c r="I15" s="45">
        <v>45415</v>
      </c>
      <c r="J15" s="20">
        <f>I15*100/66915</f>
        <v>67.86968542180378</v>
      </c>
    </row>
    <row r="16" spans="1:10" ht="15.95" customHeight="1" x14ac:dyDescent="0.25">
      <c r="A16" s="15" t="s">
        <v>22</v>
      </c>
      <c r="B16" s="18" t="s">
        <v>23</v>
      </c>
      <c r="C16" s="45">
        <v>48083</v>
      </c>
      <c r="D16" s="20">
        <f>C16*100/147467</f>
        <v>32.605938955834183</v>
      </c>
      <c r="E16" s="45">
        <v>6402</v>
      </c>
      <c r="F16" s="20">
        <f>E16*100/34717</f>
        <v>18.440533456231819</v>
      </c>
      <c r="G16" s="16" t="s">
        <v>11</v>
      </c>
      <c r="H16" s="20" t="s">
        <v>11</v>
      </c>
      <c r="I16" s="16">
        <v>41681</v>
      </c>
      <c r="J16" s="20">
        <f>I16*100/112750</f>
        <v>36.967627494456764</v>
      </c>
    </row>
    <row r="17" spans="1:10" ht="15.95" customHeight="1" x14ac:dyDescent="0.25">
      <c r="A17" s="158" t="s">
        <v>30</v>
      </c>
      <c r="B17" s="158"/>
      <c r="C17" s="21">
        <f t="shared" ref="C17:J17" si="0">SUM(C10:C16)</f>
        <v>372040</v>
      </c>
      <c r="D17" s="39">
        <f t="shared" si="0"/>
        <v>255.65943083721407</v>
      </c>
      <c r="E17" s="21">
        <f t="shared" si="0"/>
        <v>96103</v>
      </c>
      <c r="F17" s="39">
        <f t="shared" si="0"/>
        <v>106.1152996582091</v>
      </c>
      <c r="G17" s="21">
        <f t="shared" si="0"/>
        <v>93119</v>
      </c>
      <c r="H17" s="39">
        <f t="shared" si="0"/>
        <v>197.08117393585135</v>
      </c>
      <c r="I17" s="21">
        <f t="shared" si="0"/>
        <v>182818</v>
      </c>
      <c r="J17" s="39">
        <f t="shared" si="0"/>
        <v>184.59973273666685</v>
      </c>
    </row>
    <row r="18" spans="1:10" ht="15.95" customHeight="1" x14ac:dyDescent="0.25">
      <c r="A18" s="158" t="s">
        <v>32</v>
      </c>
      <c r="B18" s="158"/>
      <c r="C18" s="21">
        <f>C17/7</f>
        <v>53148.571428571428</v>
      </c>
      <c r="D18" s="39">
        <f>D17/7</f>
        <v>36.522775833887728</v>
      </c>
      <c r="E18" s="21">
        <f>E17/7</f>
        <v>13729</v>
      </c>
      <c r="F18" s="39">
        <f>F17/7</f>
        <v>15.159328522601299</v>
      </c>
      <c r="G18" s="21">
        <f>G17/5</f>
        <v>18623.8</v>
      </c>
      <c r="H18" s="39">
        <f>H17/5</f>
        <v>39.416234787170268</v>
      </c>
      <c r="I18" s="21">
        <f>I17/4</f>
        <v>45704.5</v>
      </c>
      <c r="J18" s="39">
        <f>J17/4</f>
        <v>46.149933184166713</v>
      </c>
    </row>
    <row r="19" spans="1:10" ht="15.95" customHeight="1" x14ac:dyDescent="0.25">
      <c r="A19" s="157" t="s">
        <v>24</v>
      </c>
      <c r="B19" s="157"/>
      <c r="C19" s="157"/>
      <c r="D19" s="157"/>
      <c r="E19" s="157"/>
      <c r="F19" s="157"/>
      <c r="G19" s="157"/>
      <c r="H19" s="157"/>
      <c r="I19" s="157"/>
      <c r="J19" s="157"/>
    </row>
    <row r="20" spans="1:10" ht="15.95" customHeight="1" x14ac:dyDescent="0.25">
      <c r="A20" s="15" t="s">
        <v>8</v>
      </c>
      <c r="B20" s="18" t="s">
        <v>25</v>
      </c>
      <c r="C20" s="45">
        <v>50530</v>
      </c>
      <c r="D20" s="20">
        <f>C20*100/123158</f>
        <v>41.028597411455202</v>
      </c>
      <c r="E20" s="45">
        <v>6879</v>
      </c>
      <c r="F20" s="20">
        <f>E20*100/28104</f>
        <v>24.476942783945347</v>
      </c>
      <c r="G20" s="16">
        <v>2364</v>
      </c>
      <c r="H20" s="20">
        <f>G20*100/7864</f>
        <v>30.061037639877924</v>
      </c>
      <c r="I20" s="16">
        <v>38448</v>
      </c>
      <c r="J20" s="20">
        <f>I20*100/87190</f>
        <v>44.096800091753643</v>
      </c>
    </row>
    <row r="21" spans="1:10" ht="15.95" customHeight="1" x14ac:dyDescent="0.25">
      <c r="A21" s="15" t="s">
        <v>12</v>
      </c>
      <c r="B21" s="18" t="s">
        <v>26</v>
      </c>
      <c r="C21" s="45">
        <v>19533</v>
      </c>
      <c r="D21" s="20">
        <f>C21*100/26481</f>
        <v>73.762320154072725</v>
      </c>
      <c r="E21" s="45">
        <v>0</v>
      </c>
      <c r="F21" s="45">
        <v>0</v>
      </c>
      <c r="G21" s="16" t="s">
        <v>11</v>
      </c>
      <c r="H21" s="20" t="s">
        <v>11</v>
      </c>
      <c r="I21" s="16">
        <v>19533</v>
      </c>
      <c r="J21" s="20">
        <f>I21*100/26481</f>
        <v>73.762320154072725</v>
      </c>
    </row>
    <row r="22" spans="1:10" ht="15.95" customHeight="1" x14ac:dyDescent="0.25">
      <c r="A22" s="15" t="s">
        <v>14</v>
      </c>
      <c r="B22" s="18" t="s">
        <v>27</v>
      </c>
      <c r="C22" s="45">
        <v>49637</v>
      </c>
      <c r="D22" s="20">
        <f>C22*100/94190</f>
        <v>52.698800297271475</v>
      </c>
      <c r="E22" s="45">
        <v>15895</v>
      </c>
      <c r="F22" s="20">
        <f>E22*100/31633</f>
        <v>50.248158568583442</v>
      </c>
      <c r="G22" s="45" t="s">
        <v>11</v>
      </c>
      <c r="H22" s="20" t="s">
        <v>11</v>
      </c>
      <c r="I22" s="45">
        <v>33742</v>
      </c>
      <c r="J22" s="20">
        <f>I22*100/62557</f>
        <v>53.938008536214973</v>
      </c>
    </row>
    <row r="23" spans="1:10" ht="15.95" customHeight="1" x14ac:dyDescent="0.25">
      <c r="A23" s="15" t="s">
        <v>16</v>
      </c>
      <c r="B23" s="18" t="s">
        <v>28</v>
      </c>
      <c r="C23" s="45">
        <v>33490</v>
      </c>
      <c r="D23" s="20">
        <f>C23*100/128797</f>
        <v>26.002158435367285</v>
      </c>
      <c r="E23" s="45">
        <v>12444</v>
      </c>
      <c r="F23" s="20">
        <f>E23*100/51128</f>
        <v>24.338914097950244</v>
      </c>
      <c r="G23" s="16">
        <v>2120</v>
      </c>
      <c r="H23" s="20">
        <f>G23*100/8280</f>
        <v>25.603864734299517</v>
      </c>
      <c r="I23" s="16">
        <v>18926</v>
      </c>
      <c r="J23" s="20">
        <f>I23*100/69389</f>
        <v>27.275216532879853</v>
      </c>
    </row>
    <row r="24" spans="1:10" ht="15.95" customHeight="1" x14ac:dyDescent="0.25">
      <c r="A24" s="158" t="s">
        <v>30</v>
      </c>
      <c r="B24" s="158"/>
      <c r="C24" s="21">
        <f t="shared" ref="C24:J24" si="1">SUM(C20:C23)</f>
        <v>153190</v>
      </c>
      <c r="D24" s="39">
        <f t="shared" si="1"/>
        <v>193.49187629816669</v>
      </c>
      <c r="E24" s="21">
        <f t="shared" si="1"/>
        <v>35218</v>
      </c>
      <c r="F24" s="39">
        <f t="shared" si="1"/>
        <v>99.064015450479019</v>
      </c>
      <c r="G24" s="54">
        <f t="shared" si="1"/>
        <v>4484</v>
      </c>
      <c r="H24" s="39">
        <f t="shared" si="1"/>
        <v>55.664902374177444</v>
      </c>
      <c r="I24" s="54">
        <f t="shared" si="1"/>
        <v>110649</v>
      </c>
      <c r="J24" s="39">
        <f t="shared" si="1"/>
        <v>199.07234531492119</v>
      </c>
    </row>
    <row r="25" spans="1:10" ht="15.95" customHeight="1" x14ac:dyDescent="0.25">
      <c r="A25" s="158" t="s">
        <v>32</v>
      </c>
      <c r="B25" s="158"/>
      <c r="C25" s="21">
        <f>C24/4</f>
        <v>38297.5</v>
      </c>
      <c r="D25" s="39">
        <f>D24/4</f>
        <v>48.372969074541672</v>
      </c>
      <c r="E25" s="21">
        <f>E24/4</f>
        <v>8804.5</v>
      </c>
      <c r="F25" s="39">
        <f>F24/4</f>
        <v>24.766003862619755</v>
      </c>
      <c r="G25" s="21">
        <f>G24/2</f>
        <v>2242</v>
      </c>
      <c r="H25" s="39">
        <f>H24/2</f>
        <v>27.832451187088722</v>
      </c>
      <c r="I25" s="21">
        <f>I24/4</f>
        <v>27662.25</v>
      </c>
      <c r="J25" s="39">
        <f>J24/4</f>
        <v>49.768086328730298</v>
      </c>
    </row>
    <row r="26" spans="1:10" ht="30.75" customHeight="1" x14ac:dyDescent="0.25">
      <c r="A26" s="159" t="s">
        <v>29</v>
      </c>
      <c r="B26" s="159"/>
      <c r="C26" s="51">
        <f>SUM(C17,C24)</f>
        <v>525230</v>
      </c>
      <c r="D26" s="65">
        <f>SUM(E17,D24)</f>
        <v>96296.491876298169</v>
      </c>
      <c r="E26" s="51">
        <f>SUM(E17,E24)</f>
        <v>131321</v>
      </c>
      <c r="F26" s="65">
        <f>SUM(F17,F24)</f>
        <v>205.17931510868812</v>
      </c>
      <c r="G26" s="51">
        <f>SUM(G17,G24)</f>
        <v>97603</v>
      </c>
      <c r="H26" s="65">
        <f>SUM(H20:H23)</f>
        <v>55.664902374177444</v>
      </c>
      <c r="I26" s="51">
        <f>SUM(I17,I24)</f>
        <v>293467</v>
      </c>
      <c r="J26" s="65">
        <f>SUM(J17,J24)</f>
        <v>383.67207805158807</v>
      </c>
    </row>
    <row r="27" spans="1:10" ht="33.75" customHeight="1" x14ac:dyDescent="0.25">
      <c r="A27" s="159" t="s">
        <v>31</v>
      </c>
      <c r="B27" s="159"/>
      <c r="C27" s="51">
        <f>C26/11</f>
        <v>47748.181818181816</v>
      </c>
      <c r="D27" s="65">
        <f>D26/11</f>
        <v>8754.2265342089249</v>
      </c>
      <c r="E27" s="51">
        <f>E26/11</f>
        <v>11938.272727272728</v>
      </c>
      <c r="F27" s="65">
        <f>F26/11</f>
        <v>18.652665009880739</v>
      </c>
      <c r="G27" s="51">
        <f>G26/7</f>
        <v>13943.285714285714</v>
      </c>
      <c r="H27" s="65">
        <f>H26/7</f>
        <v>7.9521289105967776</v>
      </c>
      <c r="I27" s="51">
        <f>I26/8</f>
        <v>36683.375</v>
      </c>
      <c r="J27" s="65">
        <f>J26/8</f>
        <v>47.959009756448509</v>
      </c>
    </row>
    <row r="29" spans="1:10" ht="36" x14ac:dyDescent="0.55000000000000004">
      <c r="J29" s="83"/>
    </row>
  </sheetData>
  <mergeCells count="17">
    <mergeCell ref="A26:B26"/>
    <mergeCell ref="A27:B27"/>
    <mergeCell ref="A3:J3"/>
    <mergeCell ref="C6:D7"/>
    <mergeCell ref="E6:F7"/>
    <mergeCell ref="G6:H7"/>
    <mergeCell ref="I6:J7"/>
    <mergeCell ref="A9:J9"/>
    <mergeCell ref="A17:B17"/>
    <mergeCell ref="A19:J19"/>
    <mergeCell ref="A18:B18"/>
    <mergeCell ref="A25:B25"/>
    <mergeCell ref="A2:J2"/>
    <mergeCell ref="A5:A8"/>
    <mergeCell ref="B5:B8"/>
    <mergeCell ref="C5:J5"/>
    <mergeCell ref="A24:B24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D26 H26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7"/>
  <sheetViews>
    <sheetView workbookViewId="0">
      <selection activeCell="P13" sqref="P13"/>
    </sheetView>
  </sheetViews>
  <sheetFormatPr defaultRowHeight="15" x14ac:dyDescent="0.25"/>
  <cols>
    <col min="1" max="1" width="5" customWidth="1"/>
    <col min="2" max="2" width="27.28515625" customWidth="1"/>
    <col min="3" max="3" width="12" customWidth="1"/>
    <col min="4" max="4" width="9.140625" customWidth="1"/>
    <col min="5" max="5" width="9.7109375" customWidth="1"/>
    <col min="6" max="6" width="8.5703125" customWidth="1"/>
    <col min="7" max="7" width="12.28515625" customWidth="1"/>
    <col min="8" max="8" width="10.28515625" customWidth="1"/>
    <col min="9" max="9" width="11.140625" customWidth="1"/>
    <col min="10" max="10" width="10" customWidth="1"/>
  </cols>
  <sheetData>
    <row r="2" spans="1:14" ht="15.75" x14ac:dyDescent="0.25">
      <c r="A2" s="137" t="s">
        <v>57</v>
      </c>
      <c r="B2" s="137"/>
      <c r="C2" s="137"/>
      <c r="D2" s="137"/>
      <c r="E2" s="137"/>
      <c r="F2" s="137"/>
      <c r="G2" s="137"/>
      <c r="H2" s="137"/>
      <c r="I2" s="137"/>
      <c r="J2" s="137"/>
      <c r="K2" s="24"/>
      <c r="L2" s="24"/>
      <c r="M2" s="24"/>
      <c r="N2" s="24"/>
    </row>
    <row r="3" spans="1:14" ht="15.75" x14ac:dyDescent="0.25">
      <c r="A3" s="137" t="s">
        <v>99</v>
      </c>
      <c r="B3" s="137"/>
      <c r="C3" s="137"/>
      <c r="D3" s="137"/>
      <c r="E3" s="137"/>
      <c r="F3" s="137"/>
      <c r="G3" s="137"/>
      <c r="H3" s="137"/>
      <c r="I3" s="137"/>
      <c r="J3" s="137"/>
    </row>
    <row r="4" spans="1:14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4" ht="15.95" customHeight="1" x14ac:dyDescent="0.25">
      <c r="A5" s="111" t="s">
        <v>0</v>
      </c>
      <c r="B5" s="111" t="s">
        <v>1</v>
      </c>
      <c r="C5" s="124" t="s">
        <v>55</v>
      </c>
      <c r="D5" s="138"/>
      <c r="E5" s="138"/>
      <c r="F5" s="125"/>
      <c r="G5" s="124" t="s">
        <v>56</v>
      </c>
      <c r="H5" s="138"/>
      <c r="I5" s="138"/>
      <c r="J5" s="125"/>
    </row>
    <row r="6" spans="1:14" ht="34.5" customHeight="1" x14ac:dyDescent="0.25">
      <c r="A6" s="111"/>
      <c r="B6" s="111"/>
      <c r="C6" s="22" t="s">
        <v>47</v>
      </c>
      <c r="D6" s="22" t="s">
        <v>3</v>
      </c>
      <c r="E6" s="22" t="s">
        <v>45</v>
      </c>
      <c r="F6" s="22" t="s">
        <v>46</v>
      </c>
      <c r="G6" s="22" t="s">
        <v>47</v>
      </c>
      <c r="H6" s="22" t="s">
        <v>3</v>
      </c>
      <c r="I6" s="22" t="s">
        <v>45</v>
      </c>
      <c r="J6" s="22" t="s">
        <v>46</v>
      </c>
    </row>
    <row r="7" spans="1:14" ht="15.95" customHeight="1" x14ac:dyDescent="0.25">
      <c r="A7" s="25" t="s">
        <v>7</v>
      </c>
      <c r="B7" s="25"/>
      <c r="C7" s="25"/>
      <c r="D7" s="25"/>
      <c r="E7" s="25"/>
      <c r="F7" s="25"/>
      <c r="G7" s="25"/>
      <c r="H7" s="25"/>
      <c r="I7" s="25"/>
      <c r="J7" s="25"/>
    </row>
    <row r="8" spans="1:14" ht="15.95" customHeight="1" x14ac:dyDescent="0.25">
      <c r="A8" s="15" t="s">
        <v>8</v>
      </c>
      <c r="B8" s="18" t="s">
        <v>9</v>
      </c>
      <c r="C8" s="45">
        <v>352227</v>
      </c>
      <c r="D8" s="45">
        <v>70084</v>
      </c>
      <c r="E8" s="45">
        <f>262709+19434</f>
        <v>282143</v>
      </c>
      <c r="F8" s="45" t="s">
        <v>11</v>
      </c>
      <c r="G8" s="16">
        <v>148972</v>
      </c>
      <c r="H8" s="16">
        <v>94028</v>
      </c>
      <c r="I8" s="16">
        <f>53331+1613</f>
        <v>54944</v>
      </c>
      <c r="J8" s="16" t="s">
        <v>11</v>
      </c>
    </row>
    <row r="9" spans="1:14" ht="15.95" customHeight="1" x14ac:dyDescent="0.25">
      <c r="A9" s="15" t="s">
        <v>12</v>
      </c>
      <c r="B9" s="18" t="s">
        <v>13</v>
      </c>
      <c r="C9" s="45">
        <v>168224</v>
      </c>
      <c r="D9" s="45">
        <v>27501</v>
      </c>
      <c r="E9" s="45">
        <v>13247</v>
      </c>
      <c r="F9" s="45">
        <v>127476</v>
      </c>
      <c r="G9" s="16">
        <v>30047</v>
      </c>
      <c r="H9" s="16">
        <v>1113</v>
      </c>
      <c r="I9" s="16">
        <v>4059</v>
      </c>
      <c r="J9" s="16">
        <v>24875</v>
      </c>
    </row>
    <row r="10" spans="1:14" ht="15.95" customHeight="1" x14ac:dyDescent="0.25">
      <c r="A10" s="15" t="s">
        <v>14</v>
      </c>
      <c r="B10" s="18" t="s">
        <v>15</v>
      </c>
      <c r="C10" s="45">
        <v>121446</v>
      </c>
      <c r="D10" s="45">
        <v>34919</v>
      </c>
      <c r="E10" s="45">
        <v>14137</v>
      </c>
      <c r="F10" s="45">
        <v>72390</v>
      </c>
      <c r="G10" s="16">
        <v>27718</v>
      </c>
      <c r="H10" s="16">
        <v>8789</v>
      </c>
      <c r="I10" s="16">
        <v>4061</v>
      </c>
      <c r="J10" s="16">
        <v>14868</v>
      </c>
    </row>
    <row r="11" spans="1:14" ht="15.95" customHeight="1" x14ac:dyDescent="0.25">
      <c r="A11" s="15" t="s">
        <v>16</v>
      </c>
      <c r="B11" s="18" t="s">
        <v>17</v>
      </c>
      <c r="C11" s="45">
        <v>13387</v>
      </c>
      <c r="D11" s="45">
        <v>5994</v>
      </c>
      <c r="E11" s="45">
        <v>7393</v>
      </c>
      <c r="F11" s="45" t="s">
        <v>11</v>
      </c>
      <c r="G11" s="16">
        <v>5475</v>
      </c>
      <c r="H11" s="16">
        <v>1354</v>
      </c>
      <c r="I11" s="16">
        <v>4121</v>
      </c>
      <c r="J11" s="16" t="s">
        <v>11</v>
      </c>
    </row>
    <row r="12" spans="1:14" ht="15.95" customHeight="1" x14ac:dyDescent="0.25">
      <c r="A12" s="15" t="s">
        <v>18</v>
      </c>
      <c r="B12" s="18" t="s">
        <v>19</v>
      </c>
      <c r="C12" s="45">
        <v>50656</v>
      </c>
      <c r="D12" s="45">
        <v>50656</v>
      </c>
      <c r="E12" s="45" t="s">
        <v>11</v>
      </c>
      <c r="F12" s="45" t="s">
        <v>11</v>
      </c>
      <c r="G12" s="16">
        <v>31454</v>
      </c>
      <c r="H12" s="16">
        <v>31454</v>
      </c>
      <c r="I12" s="16" t="s">
        <v>11</v>
      </c>
      <c r="J12" s="16" t="s">
        <v>11</v>
      </c>
    </row>
    <row r="13" spans="1:14" ht="15.95" customHeight="1" x14ac:dyDescent="0.25">
      <c r="A13" s="15" t="s">
        <v>20</v>
      </c>
      <c r="B13" s="18" t="s">
        <v>21</v>
      </c>
      <c r="C13" s="45">
        <v>69406</v>
      </c>
      <c r="D13" s="45">
        <v>18268</v>
      </c>
      <c r="E13" s="45">
        <v>3022</v>
      </c>
      <c r="F13" s="45">
        <v>48116</v>
      </c>
      <c r="G13" s="16">
        <v>35483</v>
      </c>
      <c r="H13" s="16">
        <v>15532</v>
      </c>
      <c r="I13" s="16">
        <v>1152</v>
      </c>
      <c r="J13" s="16">
        <v>18799</v>
      </c>
    </row>
    <row r="14" spans="1:14" ht="15.95" customHeight="1" x14ac:dyDescent="0.25">
      <c r="A14" s="15" t="s">
        <v>22</v>
      </c>
      <c r="B14" s="18" t="s">
        <v>23</v>
      </c>
      <c r="C14" s="45">
        <v>105180</v>
      </c>
      <c r="D14" s="45">
        <v>25459</v>
      </c>
      <c r="E14" s="45" t="s">
        <v>11</v>
      </c>
      <c r="F14" s="45">
        <v>79721</v>
      </c>
      <c r="G14" s="16">
        <v>42287</v>
      </c>
      <c r="H14" s="16">
        <v>9258</v>
      </c>
      <c r="I14" s="16" t="s">
        <v>11</v>
      </c>
      <c r="J14" s="16">
        <v>33029</v>
      </c>
    </row>
    <row r="15" spans="1:14" ht="15.95" customHeight="1" x14ac:dyDescent="0.25">
      <c r="A15" s="158" t="s">
        <v>30</v>
      </c>
      <c r="B15" s="158"/>
      <c r="C15" s="21">
        <f t="shared" ref="C15:J15" si="0">SUM(C8:C14)</f>
        <v>880526</v>
      </c>
      <c r="D15" s="21">
        <f t="shared" si="0"/>
        <v>232881</v>
      </c>
      <c r="E15" s="21">
        <f t="shared" si="0"/>
        <v>319942</v>
      </c>
      <c r="F15" s="21">
        <f t="shared" si="0"/>
        <v>327703</v>
      </c>
      <c r="G15" s="54">
        <f t="shared" si="0"/>
        <v>321436</v>
      </c>
      <c r="H15" s="54">
        <f t="shared" si="0"/>
        <v>161528</v>
      </c>
      <c r="I15" s="54">
        <f t="shared" si="0"/>
        <v>68337</v>
      </c>
      <c r="J15" s="54">
        <f t="shared" si="0"/>
        <v>91571</v>
      </c>
    </row>
    <row r="16" spans="1:14" ht="15.95" customHeight="1" x14ac:dyDescent="0.25">
      <c r="A16" s="108" t="s">
        <v>32</v>
      </c>
      <c r="B16" s="109"/>
      <c r="C16" s="21">
        <f>C15/7</f>
        <v>125789.42857142857</v>
      </c>
      <c r="D16" s="21">
        <f>D15/7</f>
        <v>33268.714285714283</v>
      </c>
      <c r="E16" s="21">
        <f>E15/5</f>
        <v>63988.4</v>
      </c>
      <c r="F16" s="21">
        <f>F15/4</f>
        <v>81925.75</v>
      </c>
      <c r="G16" s="54">
        <f>G15/7</f>
        <v>45919.428571428572</v>
      </c>
      <c r="H16" s="54">
        <f>H15/7</f>
        <v>23075.428571428572</v>
      </c>
      <c r="I16" s="54">
        <f>I15/5</f>
        <v>13667.4</v>
      </c>
      <c r="J16" s="54">
        <f>J15/4</f>
        <v>22892.75</v>
      </c>
    </row>
    <row r="17" spans="1:10" ht="15.95" customHeight="1" x14ac:dyDescent="0.25">
      <c r="A17" s="157" t="s">
        <v>24</v>
      </c>
      <c r="B17" s="157"/>
      <c r="C17" s="157"/>
      <c r="D17" s="157"/>
      <c r="E17" s="157"/>
      <c r="F17" s="157"/>
      <c r="G17" s="157"/>
      <c r="H17" s="157"/>
      <c r="I17" s="157"/>
      <c r="J17" s="157"/>
    </row>
    <row r="18" spans="1:10" ht="15.95" customHeight="1" x14ac:dyDescent="0.25">
      <c r="A18" s="15" t="s">
        <v>8</v>
      </c>
      <c r="B18" s="18" t="s">
        <v>25</v>
      </c>
      <c r="C18" s="45">
        <v>105390</v>
      </c>
      <c r="D18" s="45">
        <v>25591</v>
      </c>
      <c r="E18" s="45">
        <v>6379</v>
      </c>
      <c r="F18" s="45">
        <v>73420</v>
      </c>
      <c r="G18" s="16">
        <v>17768</v>
      </c>
      <c r="H18" s="16">
        <v>2513</v>
      </c>
      <c r="I18" s="16">
        <v>1485</v>
      </c>
      <c r="J18" s="16">
        <v>13770</v>
      </c>
    </row>
    <row r="19" spans="1:10" ht="15.95" customHeight="1" x14ac:dyDescent="0.25">
      <c r="A19" s="15" t="s">
        <v>12</v>
      </c>
      <c r="B19" s="18" t="s">
        <v>26</v>
      </c>
      <c r="C19" s="45">
        <v>23290</v>
      </c>
      <c r="D19" s="45">
        <v>0</v>
      </c>
      <c r="E19" s="45" t="s">
        <v>11</v>
      </c>
      <c r="F19" s="45">
        <v>23290</v>
      </c>
      <c r="G19" s="16">
        <v>3191</v>
      </c>
      <c r="H19" s="16">
        <v>0</v>
      </c>
      <c r="I19" s="16" t="s">
        <v>11</v>
      </c>
      <c r="J19" s="16">
        <v>3191</v>
      </c>
    </row>
    <row r="20" spans="1:10" ht="15.95" customHeight="1" x14ac:dyDescent="0.25">
      <c r="A20" s="15" t="s">
        <v>14</v>
      </c>
      <c r="B20" s="18" t="s">
        <v>27</v>
      </c>
      <c r="C20" s="45">
        <v>63356</v>
      </c>
      <c r="D20" s="45">
        <v>16281</v>
      </c>
      <c r="E20" s="45" t="s">
        <v>11</v>
      </c>
      <c r="F20" s="45">
        <v>47075</v>
      </c>
      <c r="G20" s="16">
        <v>30834</v>
      </c>
      <c r="H20" s="16">
        <v>15352</v>
      </c>
      <c r="I20" s="16" t="s">
        <v>11</v>
      </c>
      <c r="J20" s="16">
        <v>15482</v>
      </c>
    </row>
    <row r="21" spans="1:10" ht="15.95" customHeight="1" x14ac:dyDescent="0.25">
      <c r="A21" s="15" t="s">
        <v>16</v>
      </c>
      <c r="B21" s="18" t="s">
        <v>28</v>
      </c>
      <c r="C21" s="45">
        <v>105836</v>
      </c>
      <c r="D21" s="45">
        <v>38567</v>
      </c>
      <c r="E21" s="45">
        <v>7158</v>
      </c>
      <c r="F21" s="45">
        <v>60111</v>
      </c>
      <c r="G21" s="16">
        <v>22961</v>
      </c>
      <c r="H21" s="16">
        <v>12561</v>
      </c>
      <c r="I21" s="16">
        <v>1122</v>
      </c>
      <c r="J21" s="16">
        <v>9278</v>
      </c>
    </row>
    <row r="22" spans="1:10" ht="15.95" customHeight="1" x14ac:dyDescent="0.25">
      <c r="A22" s="158" t="s">
        <v>30</v>
      </c>
      <c r="B22" s="158"/>
      <c r="C22" s="21">
        <f t="shared" ref="C22:J22" si="1">SUM(C18:C21)</f>
        <v>297872</v>
      </c>
      <c r="D22" s="21">
        <f t="shared" si="1"/>
        <v>80439</v>
      </c>
      <c r="E22" s="21">
        <f t="shared" si="1"/>
        <v>13537</v>
      </c>
      <c r="F22" s="21">
        <f t="shared" si="1"/>
        <v>203896</v>
      </c>
      <c r="G22" s="54">
        <f t="shared" si="1"/>
        <v>74754</v>
      </c>
      <c r="H22" s="54">
        <f t="shared" si="1"/>
        <v>30426</v>
      </c>
      <c r="I22" s="54">
        <f t="shared" si="1"/>
        <v>2607</v>
      </c>
      <c r="J22" s="54">
        <f t="shared" si="1"/>
        <v>41721</v>
      </c>
    </row>
    <row r="23" spans="1:10" ht="15.95" customHeight="1" x14ac:dyDescent="0.25">
      <c r="A23" s="108" t="s">
        <v>32</v>
      </c>
      <c r="B23" s="109"/>
      <c r="C23" s="21">
        <f>C22/4</f>
        <v>74468</v>
      </c>
      <c r="D23" s="21">
        <f>D22/4</f>
        <v>20109.75</v>
      </c>
      <c r="E23" s="21">
        <f>E22/2</f>
        <v>6768.5</v>
      </c>
      <c r="F23" s="21">
        <f>F22/4</f>
        <v>50974</v>
      </c>
      <c r="G23" s="54">
        <f>G22/4</f>
        <v>18688.5</v>
      </c>
      <c r="H23" s="54">
        <f>H22/4</f>
        <v>7606.5</v>
      </c>
      <c r="I23" s="54">
        <f>I22/2</f>
        <v>1303.5</v>
      </c>
      <c r="J23" s="54">
        <f>J22/4</f>
        <v>10430.25</v>
      </c>
    </row>
    <row r="24" spans="1:10" ht="29.25" customHeight="1" x14ac:dyDescent="0.25">
      <c r="A24" s="159" t="s">
        <v>29</v>
      </c>
      <c r="B24" s="159"/>
      <c r="C24" s="51">
        <f t="shared" ref="C24:J24" si="2">SUM(C15,C22)</f>
        <v>1178398</v>
      </c>
      <c r="D24" s="51">
        <f t="shared" si="2"/>
        <v>313320</v>
      </c>
      <c r="E24" s="51">
        <f t="shared" si="2"/>
        <v>333479</v>
      </c>
      <c r="F24" s="51">
        <f t="shared" si="2"/>
        <v>531599</v>
      </c>
      <c r="G24" s="50">
        <f t="shared" si="2"/>
        <v>396190</v>
      </c>
      <c r="H24" s="50">
        <f t="shared" si="2"/>
        <v>191954</v>
      </c>
      <c r="I24" s="50">
        <f t="shared" si="2"/>
        <v>70944</v>
      </c>
      <c r="J24" s="50">
        <f t="shared" si="2"/>
        <v>133292</v>
      </c>
    </row>
    <row r="25" spans="1:10" ht="32.25" customHeight="1" x14ac:dyDescent="0.25">
      <c r="A25" s="159" t="s">
        <v>31</v>
      </c>
      <c r="B25" s="159"/>
      <c r="C25" s="51">
        <f>C24/11</f>
        <v>107127.09090909091</v>
      </c>
      <c r="D25" s="51">
        <f>D24/11</f>
        <v>28483.636363636364</v>
      </c>
      <c r="E25" s="51">
        <f>E24/7</f>
        <v>47639.857142857145</v>
      </c>
      <c r="F25" s="51">
        <f>F24/8</f>
        <v>66449.875</v>
      </c>
      <c r="G25" s="51">
        <f>G24/11</f>
        <v>36017.272727272728</v>
      </c>
      <c r="H25" s="51">
        <f>H24/11</f>
        <v>17450.363636363636</v>
      </c>
      <c r="I25" s="51">
        <f>I24/7</f>
        <v>10134.857142857143</v>
      </c>
      <c r="J25" s="51">
        <f>J24/8</f>
        <v>16661.5</v>
      </c>
    </row>
    <row r="27" spans="1:10" x14ac:dyDescent="0.25">
      <c r="I27" s="84"/>
    </row>
  </sheetData>
  <mergeCells count="13">
    <mergeCell ref="A3:J3"/>
    <mergeCell ref="A2:J2"/>
    <mergeCell ref="A15:B15"/>
    <mergeCell ref="A17:J17"/>
    <mergeCell ref="A22:B22"/>
    <mergeCell ref="G5:J5"/>
    <mergeCell ref="A16:B16"/>
    <mergeCell ref="A24:B24"/>
    <mergeCell ref="A25:B25"/>
    <mergeCell ref="A5:A6"/>
    <mergeCell ref="B5:B6"/>
    <mergeCell ref="C5:F5"/>
    <mergeCell ref="A23:B23"/>
  </mergeCells>
  <pageMargins left="0.70000000000000007" right="0.70000000000000007" top="0.75" bottom="0.75" header="0.30000000000000004" footer="0.30000000000000004"/>
  <pageSetup paperSize="9" orientation="portrait" verticalDpi="0" r:id="rId1"/>
  <ignoredErrors>
    <ignoredError sqref="E23 I2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15</vt:i4>
      </vt:variant>
    </vt:vector>
  </HeadingPairs>
  <TitlesOfParts>
    <vt:vector size="15" baseType="lpstr">
      <vt:lpstr>3.1. Vartotojų telkimas</vt:lpstr>
      <vt:lpstr>3.2. Vartotojų skaičius</vt:lpstr>
      <vt:lpstr>3.2.1. Vaikų skaičius</vt:lpstr>
      <vt:lpstr>3.3. Lankytojų skaičius</vt:lpstr>
      <vt:lpstr>3.3.1. Lankytojų vaikų skaičius</vt:lpstr>
      <vt:lpstr>3.4. Dokumentų išduotis</vt:lpstr>
      <vt:lpstr>3.5. Grož. ir šakin. išduotis</vt:lpstr>
      <vt:lpstr>3.6. Periodin. išduotis</vt:lpstr>
      <vt:lpstr>3.7. Išduotis vietoje ir į nam.</vt:lpstr>
      <vt:lpstr>3.8. Skaitomumas ir lankomumas</vt:lpstr>
      <vt:lpstr>3.9. Vaikų skaitomumas</vt:lpstr>
      <vt:lpstr>3.10. Darbo vietos</vt:lpstr>
      <vt:lpstr>3.11. Užklausos</vt:lpstr>
      <vt:lpstr>3.12. Renginiai</vt:lpstr>
      <vt:lpstr>3.13. El. paslaugos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Živilė Levokaitė</dc:creator>
  <cp:lastModifiedBy>Živilė Levokaitė</cp:lastModifiedBy>
  <dcterms:created xsi:type="dcterms:W3CDTF">2020-05-06T10:41:31Z</dcterms:created>
  <dcterms:modified xsi:type="dcterms:W3CDTF">2022-09-13T06:35:38Z</dcterms:modified>
</cp:coreProperties>
</file>