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ivile\Desktop\REGIONO ataskaita\2020\"/>
    </mc:Choice>
  </mc:AlternateContent>
  <bookViews>
    <workbookView xWindow="0" yWindow="0" windowWidth="28800" windowHeight="11700" activeTab="2"/>
  </bookViews>
  <sheets>
    <sheet name="4.1. Personalas" sheetId="1" r:id="rId1"/>
    <sheet name="4.2. Išsilavinimas" sheetId="2" r:id="rId2"/>
    <sheet name="4.3. Veiklos efektyvumas" sheetId="3" r:id="rId3"/>
  </sheets>
  <calcPr calcId="162913"/>
</workbook>
</file>

<file path=xl/calcChain.xml><?xml version="1.0" encoding="utf-8"?>
<calcChain xmlns="http://schemas.openxmlformats.org/spreadsheetml/2006/main">
  <c r="K21" i="3" l="1"/>
  <c r="K20" i="3"/>
  <c r="K19" i="3"/>
  <c r="K18" i="3"/>
  <c r="K14" i="3"/>
  <c r="K13" i="3"/>
  <c r="K12" i="3"/>
  <c r="K11" i="3"/>
  <c r="K10" i="3"/>
  <c r="K9" i="3"/>
  <c r="K8" i="3"/>
  <c r="G21" i="3"/>
  <c r="G20" i="3"/>
  <c r="G19" i="3"/>
  <c r="G18" i="3"/>
  <c r="G14" i="3"/>
  <c r="G13" i="3"/>
  <c r="G12" i="3"/>
  <c r="G11" i="3"/>
  <c r="G10" i="3"/>
  <c r="G9" i="3"/>
  <c r="G8" i="3"/>
  <c r="L21" i="3"/>
  <c r="L20" i="3"/>
  <c r="L19" i="3"/>
  <c r="L18" i="3"/>
  <c r="L14" i="3"/>
  <c r="L13" i="3"/>
  <c r="L12" i="3"/>
  <c r="L11" i="3"/>
  <c r="L10" i="3"/>
  <c r="L9" i="3"/>
  <c r="L8" i="3"/>
  <c r="H21" i="3"/>
  <c r="H20" i="3"/>
  <c r="H19" i="3"/>
  <c r="H18" i="3"/>
  <c r="H14" i="3"/>
  <c r="H13" i="3"/>
  <c r="H12" i="3"/>
  <c r="H11" i="3"/>
  <c r="H10" i="3"/>
  <c r="H9" i="3"/>
  <c r="H8" i="3"/>
  <c r="I21" i="3"/>
  <c r="I18" i="3"/>
  <c r="I13" i="3"/>
  <c r="I11" i="3"/>
  <c r="I10" i="3"/>
  <c r="I9" i="3"/>
  <c r="I8" i="3"/>
  <c r="M21" i="3"/>
  <c r="M18" i="3"/>
  <c r="M13" i="3"/>
  <c r="M11" i="3"/>
  <c r="M10" i="3"/>
  <c r="M9" i="3"/>
  <c r="M8" i="3"/>
  <c r="N21" i="3"/>
  <c r="N20" i="3"/>
  <c r="N19" i="3"/>
  <c r="N18" i="3"/>
  <c r="N14" i="3"/>
  <c r="N13" i="3"/>
  <c r="N10" i="3"/>
  <c r="N9" i="3"/>
  <c r="J21" i="3"/>
  <c r="J20" i="3"/>
  <c r="J19" i="3"/>
  <c r="J18" i="3"/>
  <c r="J14" i="3"/>
  <c r="J13" i="3"/>
  <c r="J10" i="3"/>
  <c r="J9" i="3"/>
  <c r="F21" i="3"/>
  <c r="F20" i="3"/>
  <c r="F19" i="3"/>
  <c r="F18" i="3"/>
  <c r="F14" i="3"/>
  <c r="F13" i="3"/>
  <c r="F10" i="3"/>
  <c r="F9" i="3"/>
  <c r="E21" i="3"/>
  <c r="E18" i="3"/>
  <c r="E13" i="3"/>
  <c r="E11" i="3"/>
  <c r="E10" i="3"/>
  <c r="E9" i="3"/>
  <c r="E8" i="3"/>
  <c r="D21" i="3"/>
  <c r="D20" i="3"/>
  <c r="D19" i="3"/>
  <c r="D18" i="3"/>
  <c r="D14" i="3"/>
  <c r="D13" i="3"/>
  <c r="D12" i="3"/>
  <c r="D11" i="3"/>
  <c r="D10" i="3"/>
  <c r="D9" i="3"/>
  <c r="D8" i="3"/>
  <c r="C21" i="3"/>
  <c r="C20" i="3"/>
  <c r="C19" i="3"/>
  <c r="C18" i="3"/>
  <c r="C14" i="3"/>
  <c r="C13" i="3"/>
  <c r="C12" i="3"/>
  <c r="C11" i="3"/>
  <c r="C10" i="3"/>
  <c r="C9" i="3"/>
  <c r="C8" i="3"/>
  <c r="Q8" i="2" l="1"/>
  <c r="M8" i="2"/>
  <c r="I8" i="2"/>
  <c r="E8" i="2"/>
  <c r="K8" i="1"/>
  <c r="F8" i="1"/>
  <c r="U23" i="2" l="1"/>
  <c r="O23" i="1" l="1"/>
  <c r="K23" i="1"/>
  <c r="F23" i="1"/>
  <c r="N15" i="3" l="1"/>
  <c r="N22" i="3"/>
  <c r="N23" i="3" s="1"/>
  <c r="M22" i="3"/>
  <c r="M23" i="3" s="1"/>
  <c r="M15" i="3"/>
  <c r="L15" i="3"/>
  <c r="L16" i="3" s="1"/>
  <c r="L22" i="3"/>
  <c r="L23" i="3" s="1"/>
  <c r="N16" i="3"/>
  <c r="N24" i="3" l="1"/>
  <c r="N25" i="3" s="1"/>
  <c r="M24" i="3"/>
  <c r="M25" i="3" s="1"/>
  <c r="M16" i="3"/>
  <c r="L24" i="3"/>
  <c r="L25" i="3" s="1"/>
  <c r="K22" i="3" l="1"/>
  <c r="K23" i="3" s="1"/>
  <c r="K15" i="3"/>
  <c r="K24" i="3" s="1"/>
  <c r="K25" i="3" s="1"/>
  <c r="J22" i="3"/>
  <c r="J23" i="3" s="1"/>
  <c r="J15" i="3"/>
  <c r="J16" i="3" s="1"/>
  <c r="I15" i="3"/>
  <c r="I16" i="3" s="1"/>
  <c r="I22" i="3"/>
  <c r="I23" i="3" s="1"/>
  <c r="H15" i="3"/>
  <c r="H16" i="3" s="1"/>
  <c r="H22" i="3"/>
  <c r="H23" i="3" s="1"/>
  <c r="G15" i="3"/>
  <c r="G22" i="3"/>
  <c r="G23" i="3" s="1"/>
  <c r="F22" i="3"/>
  <c r="F23" i="3" s="1"/>
  <c r="F15" i="3"/>
  <c r="F16" i="3" s="1"/>
  <c r="E15" i="3"/>
  <c r="E16" i="3" s="1"/>
  <c r="E22" i="3"/>
  <c r="E23" i="3" s="1"/>
  <c r="D22" i="3"/>
  <c r="D23" i="3" s="1"/>
  <c r="D15" i="3"/>
  <c r="D16" i="3" s="1"/>
  <c r="C22" i="3"/>
  <c r="C23" i="3" s="1"/>
  <c r="C15" i="3"/>
  <c r="C16" i="3" s="1"/>
  <c r="K16" i="3" l="1"/>
  <c r="I24" i="3"/>
  <c r="I25" i="3" s="1"/>
  <c r="H24" i="3"/>
  <c r="H25" i="3" s="1"/>
  <c r="J24" i="3"/>
  <c r="J25" i="3" s="1"/>
  <c r="D24" i="3"/>
  <c r="D25" i="3" s="1"/>
  <c r="E24" i="3"/>
  <c r="E25" i="3" s="1"/>
  <c r="F24" i="3"/>
  <c r="F25" i="3" s="1"/>
  <c r="G24" i="3"/>
  <c r="G25" i="3" s="1"/>
  <c r="G16" i="3"/>
  <c r="C24" i="3"/>
  <c r="C25" i="3" s="1"/>
  <c r="L23" i="2"/>
  <c r="T21" i="2"/>
  <c r="P21" i="2"/>
  <c r="L21" i="2"/>
  <c r="H21" i="2"/>
  <c r="D21" i="2"/>
  <c r="T15" i="2"/>
  <c r="P15" i="2"/>
  <c r="L15" i="2"/>
  <c r="H15" i="2"/>
  <c r="H22" i="2" s="1"/>
  <c r="H23" i="2" s="1"/>
  <c r="D15" i="2"/>
  <c r="N22" i="1"/>
  <c r="N23" i="1" s="1"/>
  <c r="N15" i="1"/>
  <c r="N16" i="1" s="1"/>
  <c r="J15" i="1"/>
  <c r="J16" i="1" s="1"/>
  <c r="J22" i="1"/>
  <c r="J23" i="1" s="1"/>
  <c r="H22" i="1"/>
  <c r="H23" i="1" s="1"/>
  <c r="E22" i="1"/>
  <c r="E23" i="1" s="1"/>
  <c r="E15" i="1"/>
  <c r="E16" i="1" s="1"/>
  <c r="V21" i="2"/>
  <c r="U21" i="2"/>
  <c r="R21" i="2"/>
  <c r="Q21" i="2"/>
  <c r="N21" i="2"/>
  <c r="M21" i="2"/>
  <c r="J21" i="2"/>
  <c r="I21" i="2"/>
  <c r="F21" i="2"/>
  <c r="E21" i="2"/>
  <c r="V15" i="2"/>
  <c r="V22" i="2" s="1"/>
  <c r="V23" i="2" s="1"/>
  <c r="U15" i="2"/>
  <c r="U22" i="2" s="1"/>
  <c r="R15" i="2"/>
  <c r="Q15" i="2"/>
  <c r="N15" i="2"/>
  <c r="M15" i="2"/>
  <c r="M22" i="2" s="1"/>
  <c r="M23" i="2" s="1"/>
  <c r="J15" i="2"/>
  <c r="J22" i="2" s="1"/>
  <c r="J23" i="2" s="1"/>
  <c r="I15" i="2"/>
  <c r="F15" i="2"/>
  <c r="E15" i="2"/>
  <c r="E22" i="2" s="1"/>
  <c r="E23" i="2" s="1"/>
  <c r="P22" i="1"/>
  <c r="P23" i="1" s="1"/>
  <c r="P15" i="1"/>
  <c r="P16" i="1" s="1"/>
  <c r="O22" i="1"/>
  <c r="O15" i="1"/>
  <c r="O16" i="1" s="1"/>
  <c r="L22" i="1"/>
  <c r="L23" i="1" s="1"/>
  <c r="L15" i="1"/>
  <c r="L16" i="1" s="1"/>
  <c r="K22" i="1"/>
  <c r="K15" i="1"/>
  <c r="G22" i="1"/>
  <c r="G23" i="1" s="1"/>
  <c r="G15" i="1"/>
  <c r="G16" i="1" s="1"/>
  <c r="F22" i="1"/>
  <c r="F15" i="1"/>
  <c r="R22" i="2" l="1"/>
  <c r="R23" i="2" s="1"/>
  <c r="N22" i="2"/>
  <c r="N23" i="2" s="1"/>
  <c r="F22" i="2"/>
  <c r="F23" i="2" s="1"/>
  <c r="L24" i="1"/>
  <c r="L25" i="1" s="1"/>
  <c r="G24" i="1"/>
  <c r="G25" i="1" s="1"/>
  <c r="P24" i="1"/>
  <c r="P25" i="1" s="1"/>
  <c r="O24" i="1"/>
  <c r="O25" i="1" s="1"/>
  <c r="K24" i="1"/>
  <c r="K25" i="1" s="1"/>
  <c r="K16" i="1"/>
  <c r="F24" i="1"/>
  <c r="F25" i="1" s="1"/>
  <c r="F16" i="1"/>
  <c r="T22" i="2"/>
  <c r="T23" i="2" s="1"/>
  <c r="L22" i="2"/>
  <c r="D22" i="2"/>
  <c r="D23" i="2" s="1"/>
  <c r="N24" i="1"/>
  <c r="N25" i="1" s="1"/>
  <c r="P22" i="2"/>
  <c r="P23" i="2" s="1"/>
  <c r="J24" i="1"/>
  <c r="J25" i="1" s="1"/>
  <c r="E24" i="1"/>
  <c r="E25" i="1" s="1"/>
  <c r="I22" i="2"/>
  <c r="I23" i="2" s="1"/>
  <c r="Q22" i="2"/>
  <c r="Q23" i="2" s="1"/>
  <c r="S21" i="2"/>
  <c r="S22" i="2" s="1"/>
  <c r="S23" i="2" s="1"/>
  <c r="O21" i="2"/>
  <c r="K21" i="2"/>
  <c r="G21" i="2"/>
  <c r="C21" i="2"/>
  <c r="S15" i="2"/>
  <c r="O15" i="2"/>
  <c r="K15" i="2"/>
  <c r="G15" i="2"/>
  <c r="G22" i="2" s="1"/>
  <c r="G23" i="2" s="1"/>
  <c r="C15" i="2"/>
  <c r="M22" i="1"/>
  <c r="M23" i="1" s="1"/>
  <c r="I22" i="1"/>
  <c r="I23" i="1" s="1"/>
  <c r="M15" i="1"/>
  <c r="M16" i="1" s="1"/>
  <c r="I15" i="1"/>
  <c r="I16" i="1" s="1"/>
  <c r="H15" i="1"/>
  <c r="H16" i="1" s="1"/>
  <c r="D22" i="1"/>
  <c r="D23" i="1" s="1"/>
  <c r="D15" i="1"/>
  <c r="C15" i="1"/>
  <c r="C16" i="1" s="1"/>
  <c r="C22" i="1"/>
  <c r="C23" i="1" s="1"/>
  <c r="O22" i="2" l="1"/>
  <c r="O23" i="2" s="1"/>
  <c r="K22" i="2"/>
  <c r="K23" i="2" s="1"/>
  <c r="C22" i="2"/>
  <c r="C23" i="2" s="1"/>
  <c r="M24" i="1"/>
  <c r="M25" i="1" s="1"/>
  <c r="C24" i="1"/>
  <c r="C25" i="1" s="1"/>
  <c r="I24" i="1"/>
  <c r="I25" i="1" s="1"/>
  <c r="H24" i="1"/>
  <c r="H25" i="1" s="1"/>
  <c r="D16" i="1"/>
  <c r="D24" i="1"/>
  <c r="D25" i="1" s="1"/>
</calcChain>
</file>

<file path=xl/sharedStrings.xml><?xml version="1.0" encoding="utf-8"?>
<sst xmlns="http://schemas.openxmlformats.org/spreadsheetml/2006/main" count="235" uniqueCount="47">
  <si>
    <t>Eil. Nr.</t>
  </si>
  <si>
    <t>Savivaldybių viešosios bibliotekos</t>
  </si>
  <si>
    <t>VB</t>
  </si>
  <si>
    <t>Miesto fil.</t>
  </si>
  <si>
    <t>Kaimo fil.</t>
  </si>
  <si>
    <t>I. Klaipėdos apskritis</t>
  </si>
  <si>
    <t>1.</t>
  </si>
  <si>
    <t>Klaipėdos m.</t>
  </si>
  <si>
    <t>2.</t>
  </si>
  <si>
    <t>Klaipėdos r.</t>
  </si>
  <si>
    <t>3.</t>
  </si>
  <si>
    <t>Kretingos r.</t>
  </si>
  <si>
    <t>4.</t>
  </si>
  <si>
    <t>Neringos m.</t>
  </si>
  <si>
    <t>5.</t>
  </si>
  <si>
    <t>Palangos m.</t>
  </si>
  <si>
    <t>6.</t>
  </si>
  <si>
    <t>Skuodo r.</t>
  </si>
  <si>
    <t>7.</t>
  </si>
  <si>
    <t>Šilutės r.</t>
  </si>
  <si>
    <t>Iš viso:</t>
  </si>
  <si>
    <t>II. Tauragės apskritis</t>
  </si>
  <si>
    <t>Jurbarko r.</t>
  </si>
  <si>
    <t>Pagėgių sav.</t>
  </si>
  <si>
    <t>Šilalės r.</t>
  </si>
  <si>
    <t>Tauragės r.</t>
  </si>
  <si>
    <t>Iš viso Klaipėdos ir Tauragės apskrityse:</t>
  </si>
  <si>
    <t>Vidutiniškai vienoje bibliotekoje Klaipėdos ir Tauragės apskrityse:</t>
  </si>
  <si>
    <t>Etatų skaičius SVB</t>
  </si>
  <si>
    <t>Iš viso SVB</t>
  </si>
  <si>
    <t>Darbuotojų skaičius</t>
  </si>
  <si>
    <t>Iš jų: profesionalių bibliotekininkų</t>
  </si>
  <si>
    <t>Iš viso</t>
  </si>
  <si>
    <t xml:space="preserve">Profesionalių bibliotekininkų, </t>
  </si>
  <si>
    <t>dirbančių ne visą darbo dieną skaičius</t>
  </si>
  <si>
    <t>Aukštasis</t>
  </si>
  <si>
    <t>Iš jų: bibliotekinis</t>
  </si>
  <si>
    <t>Aukštesnysis</t>
  </si>
  <si>
    <t>Kitas</t>
  </si>
  <si>
    <t>Vartotojų skaičius vienam bibliotekininkui</t>
  </si>
  <si>
    <t>Lankytojų skaičius vienam bibliotekininkui</t>
  </si>
  <si>
    <t>Dokumentų išduotis vienam bibliotekininkui (fiz. vnt.)</t>
  </si>
  <si>
    <t>x</t>
  </si>
  <si>
    <t>Vidutiniškai vienoje bibliotekoje:</t>
  </si>
  <si>
    <t>4.1. KLAIPĖDOS IR TAURAGĖS APSKRIČIŲ SAVIVALDYBIŲ VIEŠŲJŲ BIBLIOTEKŲ PERSONALAS 2020 M.</t>
  </si>
  <si>
    <t>4.2. KLAIPĖDOS IR TAURAGĖS APSKRIČIŲ SAVIVALDYBIŲ BIBLIOTEKININKŲ IŠSILAVINIMAS IR KVALIFIKACIJA 2020 M.</t>
  </si>
  <si>
    <t>4.3. KLAIPĖDOS IR TAURAGĖS APSKRIČIŲ SAVIVALDYBIŲ VIEŠŲJŲ BIBLIOTEKŲ DARBUOTOJŲ VEIKLOS EFEKTYVUMAS 2020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</si>
</sst>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rgb="FF000000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2"/>
      <color rgb="FF000000"/>
      <name val="Calibri"/>
      <family val="2"/>
      <charset val="186"/>
    </font>
    <font>
      <sz val="12"/>
      <color rgb="FF000000"/>
      <name val="Calibri"/>
      <family val="2"/>
      <charset val="186"/>
    </font>
    <font>
      <sz val="12"/>
      <name val="Calibri"/>
      <family val="2"/>
      <charset val="186"/>
    </font>
    <font>
      <b/>
      <sz val="12"/>
      <name val="Calibri"/>
      <family val="2"/>
      <charset val="186"/>
    </font>
    <font>
      <sz val="11"/>
      <name val="Calibri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rgb="FFD6E3B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72">
    <xf numFmtId="0" fontId="0" fillId="0" borderId="0" xfId="0"/>
    <xf numFmtId="0" fontId="3" fillId="3" borderId="1" xfId="2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left" vertical="center" wrapText="1"/>
    </xf>
    <xf numFmtId="0" fontId="3" fillId="3" borderId="7" xfId="2" applyFont="1" applyFill="1" applyBorder="1" applyAlignment="1">
      <alignment horizontal="center" vertical="center" wrapText="1"/>
    </xf>
    <xf numFmtId="0" fontId="8" fillId="0" borderId="0" xfId="0" applyFont="1"/>
    <xf numFmtId="0" fontId="8" fillId="4" borderId="1" xfId="0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left" vertical="center" wrapText="1"/>
    </xf>
    <xf numFmtId="2" fontId="5" fillId="5" borderId="1" xfId="1" applyNumberFormat="1" applyFont="1" applyFill="1" applyBorder="1" applyAlignment="1">
      <alignment horizontal="center" vertical="center" wrapText="1"/>
    </xf>
    <xf numFmtId="2" fontId="5" fillId="5" borderId="1" xfId="1" applyNumberFormat="1" applyFont="1" applyFill="1" applyBorder="1" applyAlignment="1">
      <alignment horizontal="left" vertical="center" wrapText="1"/>
    </xf>
    <xf numFmtId="1" fontId="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9" fillId="5" borderId="1" xfId="0" applyNumberFormat="1" applyFont="1" applyFill="1" applyBorder="1" applyAlignment="1">
      <alignment horizontal="center" vertical="center"/>
    </xf>
    <xf numFmtId="2" fontId="5" fillId="6" borderId="1" xfId="0" applyNumberFormat="1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/>
    </xf>
    <xf numFmtId="1" fontId="9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/>
    </xf>
    <xf numFmtId="1" fontId="6" fillId="7" borderId="1" xfId="0" applyNumberFormat="1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center" vertical="center"/>
    </xf>
    <xf numFmtId="164" fontId="10" fillId="7" borderId="1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1" fontId="10" fillId="7" borderId="1" xfId="0" applyNumberFormat="1" applyFont="1" applyFill="1" applyBorder="1" applyAlignment="1">
      <alignment horizontal="center" vertical="center"/>
    </xf>
    <xf numFmtId="164" fontId="9" fillId="6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1" fillId="0" borderId="0" xfId="0" applyFont="1"/>
    <xf numFmtId="164" fontId="5" fillId="5" borderId="1" xfId="0" applyNumberFormat="1" applyFont="1" applyFill="1" applyBorder="1" applyAlignment="1">
      <alignment horizontal="center" vertical="center"/>
    </xf>
    <xf numFmtId="2" fontId="5" fillId="6" borderId="1" xfId="1" applyNumberFormat="1" applyFont="1" applyFill="1" applyBorder="1" applyAlignment="1">
      <alignment horizontal="right" vertical="center"/>
    </xf>
    <xf numFmtId="2" fontId="6" fillId="7" borderId="1" xfId="1" applyNumberFormat="1" applyFont="1" applyFill="1" applyBorder="1" applyAlignment="1">
      <alignment horizontal="right" vertical="center" wrapText="1"/>
    </xf>
    <xf numFmtId="2" fontId="4" fillId="4" borderId="2" xfId="0" applyNumberFormat="1" applyFont="1" applyFill="1" applyBorder="1" applyAlignment="1">
      <alignment horizontal="left" vertical="center"/>
    </xf>
    <xf numFmtId="2" fontId="4" fillId="4" borderId="3" xfId="0" applyNumberFormat="1" applyFont="1" applyFill="1" applyBorder="1" applyAlignment="1">
      <alignment horizontal="left" vertical="center"/>
    </xf>
    <xf numFmtId="2" fontId="4" fillId="4" borderId="4" xfId="0" applyNumberFormat="1" applyFont="1" applyFill="1" applyBorder="1" applyAlignment="1">
      <alignment horizontal="left" vertical="center"/>
    </xf>
    <xf numFmtId="0" fontId="5" fillId="6" borderId="2" xfId="1" applyFont="1" applyFill="1" applyBorder="1" applyAlignment="1">
      <alignment horizontal="right" vertical="center"/>
    </xf>
    <xf numFmtId="0" fontId="5" fillId="6" borderId="4" xfId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3" fillId="3" borderId="7" xfId="2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center" vertical="center" wrapText="1"/>
    </xf>
    <xf numFmtId="0" fontId="3" fillId="3" borderId="8" xfId="2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right" vertical="center" wrapText="1"/>
    </xf>
    <xf numFmtId="0" fontId="6" fillId="7" borderId="2" xfId="1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right" vertical="center"/>
    </xf>
    <xf numFmtId="0" fontId="3" fillId="3" borderId="5" xfId="2" applyFont="1" applyFill="1" applyBorder="1" applyAlignment="1">
      <alignment horizontal="center" vertical="center" wrapText="1"/>
    </xf>
    <xf numFmtId="0" fontId="3" fillId="3" borderId="14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3" borderId="10" xfId="2" applyFont="1" applyFill="1" applyBorder="1" applyAlignment="1">
      <alignment horizontal="center" vertical="center" wrapText="1"/>
    </xf>
    <xf numFmtId="0" fontId="3" fillId="3" borderId="11" xfId="2" applyFont="1" applyFill="1" applyBorder="1" applyAlignment="1">
      <alignment horizontal="center" vertical="center" wrapText="1"/>
    </xf>
    <xf numFmtId="0" fontId="3" fillId="3" borderId="12" xfId="2" applyFont="1" applyFill="1" applyBorder="1" applyAlignment="1">
      <alignment horizontal="center" vertical="center" wrapText="1"/>
    </xf>
    <xf numFmtId="0" fontId="3" fillId="3" borderId="13" xfId="2" applyFont="1" applyFill="1" applyBorder="1" applyAlignment="1">
      <alignment horizontal="center" vertical="center" wrapText="1"/>
    </xf>
  </cellXfs>
  <cellStyles count="3">
    <cellStyle name="20% – paryškinimas 4" xfId="1" builtinId="42"/>
    <cellStyle name="Įprastas" xfId="0" builtinId="0" customBuiltin="1"/>
    <cellStyle name="Įprasta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26</xdr:row>
      <xdr:rowOff>0</xdr:rowOff>
    </xdr:from>
    <xdr:to>
      <xdr:col>9</xdr:col>
      <xdr:colOff>176892</xdr:colOff>
      <xdr:row>43</xdr:row>
      <xdr:rowOff>9525</xdr:rowOff>
    </xdr:to>
    <xdr:pic>
      <xdr:nvPicPr>
        <xdr:cNvPr id="4" name="Paveikslėlis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099" y="5838825"/>
          <a:ext cx="5568043" cy="3248025"/>
        </a:xfrm>
        <a:prstGeom prst="rect">
          <a:avLst/>
        </a:prstGeom>
      </xdr:spPr>
    </xdr:pic>
    <xdr:clientData/>
  </xdr:twoCellAnchor>
  <xdr:twoCellAnchor editAs="oneCell">
    <xdr:from>
      <xdr:col>9</xdr:col>
      <xdr:colOff>295275</xdr:colOff>
      <xdr:row>26</xdr:row>
      <xdr:rowOff>4514</xdr:rowOff>
    </xdr:from>
    <xdr:to>
      <xdr:col>18</xdr:col>
      <xdr:colOff>554312</xdr:colOff>
      <xdr:row>43</xdr:row>
      <xdr:rowOff>19050</xdr:rowOff>
    </xdr:to>
    <xdr:pic>
      <xdr:nvPicPr>
        <xdr:cNvPr id="5" name="Paveikslėlis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05525" y="5843339"/>
          <a:ext cx="5573987" cy="32530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76126</xdr:colOff>
      <xdr:row>23</xdr:row>
      <xdr:rowOff>180973</xdr:rowOff>
    </xdr:from>
    <xdr:to>
      <xdr:col>9</xdr:col>
      <xdr:colOff>462748</xdr:colOff>
      <xdr:row>42</xdr:row>
      <xdr:rowOff>9524</xdr:rowOff>
    </xdr:to>
    <xdr:pic>
      <xdr:nvPicPr>
        <xdr:cNvPr id="3" name="Paveikslėlis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26" y="5457823"/>
          <a:ext cx="5901597" cy="34480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238125</xdr:colOff>
      <xdr:row>25</xdr:row>
      <xdr:rowOff>179584</xdr:rowOff>
    </xdr:from>
    <xdr:to>
      <xdr:col>18</xdr:col>
      <xdr:colOff>66676</xdr:colOff>
      <xdr:row>48</xdr:row>
      <xdr:rowOff>189998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29275" y="5704084"/>
          <a:ext cx="5495926" cy="439191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25</xdr:row>
      <xdr:rowOff>190499</xdr:rowOff>
    </xdr:from>
    <xdr:to>
      <xdr:col>8</xdr:col>
      <xdr:colOff>101431</xdr:colOff>
      <xdr:row>49</xdr:row>
      <xdr:rowOff>960</xdr:rowOff>
    </xdr:to>
    <xdr:pic>
      <xdr:nvPicPr>
        <xdr:cNvPr id="3" name="Paveikslėlis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1" y="5714999"/>
          <a:ext cx="5473530" cy="4382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topLeftCell="B13" workbookViewId="0">
      <selection activeCell="R12" sqref="R12"/>
    </sheetView>
  </sheetViews>
  <sheetFormatPr defaultRowHeight="15" x14ac:dyDescent="0.25"/>
  <cols>
    <col min="1" max="1" width="5.7109375" customWidth="1"/>
    <col min="2" max="2" width="27.28515625" customWidth="1"/>
    <col min="3" max="3" width="9.140625" customWidth="1"/>
    <col min="4" max="4" width="7.85546875" customWidth="1"/>
    <col min="5" max="5" width="6.85546875" customWidth="1"/>
    <col min="6" max="7" width="7.140625" customWidth="1"/>
    <col min="8" max="8" width="8.28515625" customWidth="1"/>
    <col min="9" max="9" width="7.7109375" customWidth="1"/>
    <col min="10" max="10" width="7.42578125" customWidth="1"/>
    <col min="11" max="11" width="7.7109375" customWidth="1"/>
    <col min="12" max="12" width="6.5703125" customWidth="1"/>
    <col min="13" max="13" width="9" customWidth="1"/>
    <col min="14" max="14" width="8.140625" customWidth="1"/>
    <col min="15" max="15" width="9" customWidth="1"/>
    <col min="16" max="16" width="9.28515625" customWidth="1"/>
    <col min="17" max="17" width="13.42578125" customWidth="1"/>
  </cols>
  <sheetData>
    <row r="2" spans="1:16" ht="15.75" x14ac:dyDescent="0.25">
      <c r="A2" s="37" t="s">
        <v>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5.7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20.25" customHeight="1" x14ac:dyDescent="0.25">
      <c r="A4" s="50" t="s">
        <v>0</v>
      </c>
      <c r="B4" s="50" t="s">
        <v>1</v>
      </c>
      <c r="C4" s="50" t="s">
        <v>28</v>
      </c>
      <c r="D4" s="38" t="s">
        <v>30</v>
      </c>
      <c r="E4" s="39"/>
      <c r="F4" s="39"/>
      <c r="G4" s="40"/>
      <c r="H4" s="38" t="s">
        <v>31</v>
      </c>
      <c r="I4" s="39"/>
      <c r="J4" s="39"/>
      <c r="K4" s="39"/>
      <c r="L4" s="40"/>
      <c r="M4" s="41" t="s">
        <v>33</v>
      </c>
      <c r="N4" s="42"/>
      <c r="O4" s="42"/>
      <c r="P4" s="43"/>
    </row>
    <row r="5" spans="1:16" ht="17.25" customHeight="1" x14ac:dyDescent="0.25">
      <c r="A5" s="52"/>
      <c r="B5" s="52"/>
      <c r="C5" s="52"/>
      <c r="D5" s="50" t="s">
        <v>29</v>
      </c>
      <c r="E5" s="50" t="s">
        <v>2</v>
      </c>
      <c r="F5" s="50" t="s">
        <v>3</v>
      </c>
      <c r="G5" s="50" t="s">
        <v>4</v>
      </c>
      <c r="H5" s="50" t="s">
        <v>28</v>
      </c>
      <c r="I5" s="38" t="s">
        <v>30</v>
      </c>
      <c r="J5" s="39"/>
      <c r="K5" s="39"/>
      <c r="L5" s="40"/>
      <c r="M5" s="44" t="s">
        <v>34</v>
      </c>
      <c r="N5" s="45"/>
      <c r="O5" s="45"/>
      <c r="P5" s="46"/>
    </row>
    <row r="6" spans="1:16" ht="33" customHeight="1" x14ac:dyDescent="0.25">
      <c r="A6" s="51"/>
      <c r="B6" s="51"/>
      <c r="C6" s="51"/>
      <c r="D6" s="51"/>
      <c r="E6" s="51"/>
      <c r="F6" s="51"/>
      <c r="G6" s="51"/>
      <c r="H6" s="51"/>
      <c r="I6" s="1" t="s">
        <v>32</v>
      </c>
      <c r="J6" s="1" t="s">
        <v>2</v>
      </c>
      <c r="K6" s="1" t="s">
        <v>3</v>
      </c>
      <c r="L6" s="6" t="s">
        <v>4</v>
      </c>
      <c r="M6" s="1" t="s">
        <v>32</v>
      </c>
      <c r="N6" s="1" t="s">
        <v>2</v>
      </c>
      <c r="O6" s="1" t="s">
        <v>3</v>
      </c>
      <c r="P6" s="6" t="s">
        <v>4</v>
      </c>
    </row>
    <row r="7" spans="1:16" ht="15.95" customHeight="1" x14ac:dyDescent="0.25">
      <c r="A7" s="47" t="s">
        <v>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</row>
    <row r="8" spans="1:16" ht="15.95" customHeight="1" x14ac:dyDescent="0.25">
      <c r="A8" s="8" t="s">
        <v>6</v>
      </c>
      <c r="B8" s="9" t="s">
        <v>7</v>
      </c>
      <c r="C8" s="12">
        <v>74</v>
      </c>
      <c r="D8" s="13">
        <v>83</v>
      </c>
      <c r="E8" s="13">
        <v>52</v>
      </c>
      <c r="F8" s="13">
        <f>29+2</f>
        <v>31</v>
      </c>
      <c r="G8" s="13" t="s">
        <v>42</v>
      </c>
      <c r="H8" s="12">
        <v>56</v>
      </c>
      <c r="I8" s="13">
        <v>57</v>
      </c>
      <c r="J8" s="13">
        <v>26</v>
      </c>
      <c r="K8" s="13">
        <f>29+2</f>
        <v>31</v>
      </c>
      <c r="L8" s="15" t="s">
        <v>42</v>
      </c>
      <c r="M8" s="15">
        <v>2</v>
      </c>
      <c r="N8" s="15">
        <v>0</v>
      </c>
      <c r="O8" s="15">
        <v>2</v>
      </c>
      <c r="P8" s="15" t="s">
        <v>42</v>
      </c>
    </row>
    <row r="9" spans="1:16" ht="15.95" customHeight="1" x14ac:dyDescent="0.25">
      <c r="A9" s="8" t="s">
        <v>8</v>
      </c>
      <c r="B9" s="9" t="s">
        <v>9</v>
      </c>
      <c r="C9" s="12">
        <v>56</v>
      </c>
      <c r="D9" s="13">
        <v>57</v>
      </c>
      <c r="E9" s="13">
        <v>30</v>
      </c>
      <c r="F9" s="13">
        <v>3</v>
      </c>
      <c r="G9" s="13">
        <v>24</v>
      </c>
      <c r="H9" s="12">
        <v>43.5</v>
      </c>
      <c r="I9" s="13">
        <v>44</v>
      </c>
      <c r="J9" s="13">
        <v>19</v>
      </c>
      <c r="K9" s="13">
        <v>2</v>
      </c>
      <c r="L9" s="15">
        <v>23</v>
      </c>
      <c r="M9" s="15">
        <v>8</v>
      </c>
      <c r="N9" s="15">
        <v>0</v>
      </c>
      <c r="O9" s="15">
        <v>0</v>
      </c>
      <c r="P9" s="15">
        <v>8</v>
      </c>
    </row>
    <row r="10" spans="1:16" ht="15.95" customHeight="1" x14ac:dyDescent="0.25">
      <c r="A10" s="8" t="s">
        <v>10</v>
      </c>
      <c r="B10" s="9" t="s">
        <v>11</v>
      </c>
      <c r="C10" s="12">
        <v>51.29</v>
      </c>
      <c r="D10" s="13">
        <v>49</v>
      </c>
      <c r="E10" s="13">
        <v>27</v>
      </c>
      <c r="F10" s="13">
        <v>2</v>
      </c>
      <c r="G10" s="13">
        <v>20</v>
      </c>
      <c r="H10" s="12">
        <v>39</v>
      </c>
      <c r="I10" s="13">
        <v>42</v>
      </c>
      <c r="J10" s="13">
        <v>20</v>
      </c>
      <c r="K10" s="13">
        <v>2</v>
      </c>
      <c r="L10" s="15">
        <v>20</v>
      </c>
      <c r="M10" s="15">
        <v>9</v>
      </c>
      <c r="N10" s="15">
        <v>0</v>
      </c>
      <c r="O10" s="15">
        <v>0</v>
      </c>
      <c r="P10" s="15">
        <v>9</v>
      </c>
    </row>
    <row r="11" spans="1:16" ht="15.95" customHeight="1" x14ac:dyDescent="0.25">
      <c r="A11" s="8" t="s">
        <v>12</v>
      </c>
      <c r="B11" s="9" t="s">
        <v>13</v>
      </c>
      <c r="C11" s="12">
        <v>10.5</v>
      </c>
      <c r="D11" s="13">
        <v>14</v>
      </c>
      <c r="E11" s="13">
        <v>9</v>
      </c>
      <c r="F11" s="13">
        <v>5</v>
      </c>
      <c r="G11" s="13" t="s">
        <v>42</v>
      </c>
      <c r="H11" s="12">
        <v>7.5</v>
      </c>
      <c r="I11" s="13">
        <v>8</v>
      </c>
      <c r="J11" s="13">
        <v>5</v>
      </c>
      <c r="K11" s="13">
        <v>3</v>
      </c>
      <c r="L11" s="15" t="s">
        <v>42</v>
      </c>
      <c r="M11" s="15">
        <v>1</v>
      </c>
      <c r="N11" s="15">
        <v>1</v>
      </c>
      <c r="O11" s="15">
        <v>0</v>
      </c>
      <c r="P11" s="15" t="s">
        <v>42</v>
      </c>
    </row>
    <row r="12" spans="1:16" ht="15.95" customHeight="1" x14ac:dyDescent="0.25">
      <c r="A12" s="8" t="s">
        <v>14</v>
      </c>
      <c r="B12" s="9" t="s">
        <v>15</v>
      </c>
      <c r="C12" s="12">
        <v>25.4</v>
      </c>
      <c r="D12" s="13">
        <v>27</v>
      </c>
      <c r="E12" s="13">
        <v>27</v>
      </c>
      <c r="F12" s="13" t="s">
        <v>42</v>
      </c>
      <c r="G12" s="13" t="s">
        <v>42</v>
      </c>
      <c r="H12" s="12">
        <v>20.5</v>
      </c>
      <c r="I12" s="13">
        <v>22</v>
      </c>
      <c r="J12" s="13">
        <v>22</v>
      </c>
      <c r="K12" s="13" t="s">
        <v>42</v>
      </c>
      <c r="L12" s="15" t="s">
        <v>42</v>
      </c>
      <c r="M12" s="15">
        <v>2</v>
      </c>
      <c r="N12" s="15">
        <v>2</v>
      </c>
      <c r="O12" s="15" t="s">
        <v>42</v>
      </c>
      <c r="P12" s="15" t="s">
        <v>42</v>
      </c>
    </row>
    <row r="13" spans="1:16" ht="15.95" customHeight="1" x14ac:dyDescent="0.25">
      <c r="A13" s="8" t="s">
        <v>16</v>
      </c>
      <c r="B13" s="9" t="s">
        <v>17</v>
      </c>
      <c r="C13" s="12">
        <v>36</v>
      </c>
      <c r="D13" s="13">
        <v>37</v>
      </c>
      <c r="E13" s="13">
        <v>22</v>
      </c>
      <c r="F13" s="13">
        <v>1</v>
      </c>
      <c r="G13" s="13">
        <v>14</v>
      </c>
      <c r="H13" s="12">
        <v>31</v>
      </c>
      <c r="I13" s="13">
        <v>32</v>
      </c>
      <c r="J13" s="13">
        <v>17</v>
      </c>
      <c r="K13" s="13">
        <v>1</v>
      </c>
      <c r="L13" s="15">
        <v>14</v>
      </c>
      <c r="M13" s="15">
        <v>5</v>
      </c>
      <c r="N13" s="15">
        <v>0</v>
      </c>
      <c r="O13" s="15">
        <v>0</v>
      </c>
      <c r="P13" s="15">
        <v>5</v>
      </c>
    </row>
    <row r="14" spans="1:16" ht="15.95" customHeight="1" x14ac:dyDescent="0.25">
      <c r="A14" s="8" t="s">
        <v>18</v>
      </c>
      <c r="B14" s="9" t="s">
        <v>19</v>
      </c>
      <c r="C14" s="12">
        <v>62.5</v>
      </c>
      <c r="D14" s="13">
        <v>64</v>
      </c>
      <c r="E14" s="13">
        <v>33</v>
      </c>
      <c r="F14" s="13" t="s">
        <v>42</v>
      </c>
      <c r="G14" s="13">
        <v>31</v>
      </c>
      <c r="H14" s="12">
        <v>48.75</v>
      </c>
      <c r="I14" s="13">
        <v>55</v>
      </c>
      <c r="J14" s="13">
        <v>24</v>
      </c>
      <c r="K14" s="13" t="s">
        <v>42</v>
      </c>
      <c r="L14" s="15">
        <v>31</v>
      </c>
      <c r="M14" s="15">
        <v>14</v>
      </c>
      <c r="N14" s="15">
        <v>0</v>
      </c>
      <c r="O14" s="15" t="s">
        <v>42</v>
      </c>
      <c r="P14" s="15">
        <v>14</v>
      </c>
    </row>
    <row r="15" spans="1:16" ht="15.95" customHeight="1" x14ac:dyDescent="0.25">
      <c r="A15" s="30" t="s">
        <v>20</v>
      </c>
      <c r="B15" s="30"/>
      <c r="C15" s="16">
        <f t="shared" ref="C15:P15" si="0">SUM(C8:C14)</f>
        <v>315.69</v>
      </c>
      <c r="D15" s="17">
        <f t="shared" si="0"/>
        <v>331</v>
      </c>
      <c r="E15" s="17">
        <f t="shared" si="0"/>
        <v>200</v>
      </c>
      <c r="F15" s="17">
        <f t="shared" si="0"/>
        <v>42</v>
      </c>
      <c r="G15" s="17">
        <f t="shared" si="0"/>
        <v>89</v>
      </c>
      <c r="H15" s="16">
        <f t="shared" si="0"/>
        <v>246.25</v>
      </c>
      <c r="I15" s="17">
        <f t="shared" si="0"/>
        <v>260</v>
      </c>
      <c r="J15" s="17">
        <f t="shared" si="0"/>
        <v>133</v>
      </c>
      <c r="K15" s="17">
        <f t="shared" si="0"/>
        <v>39</v>
      </c>
      <c r="L15" s="18">
        <f t="shared" si="0"/>
        <v>88</v>
      </c>
      <c r="M15" s="18">
        <f t="shared" si="0"/>
        <v>41</v>
      </c>
      <c r="N15" s="18">
        <f t="shared" si="0"/>
        <v>3</v>
      </c>
      <c r="O15" s="18">
        <f t="shared" si="0"/>
        <v>2</v>
      </c>
      <c r="P15" s="18">
        <f t="shared" si="0"/>
        <v>36</v>
      </c>
    </row>
    <row r="16" spans="1:16" ht="15.95" customHeight="1" x14ac:dyDescent="0.25">
      <c r="A16" s="35" t="s">
        <v>43</v>
      </c>
      <c r="B16" s="36"/>
      <c r="C16" s="16">
        <f>C15/7</f>
        <v>45.098571428571425</v>
      </c>
      <c r="D16" s="17">
        <f>D15/7</f>
        <v>47.285714285714285</v>
      </c>
      <c r="E16" s="17">
        <f>E15/7</f>
        <v>28.571428571428573</v>
      </c>
      <c r="F16" s="17">
        <f>F15/5</f>
        <v>8.4</v>
      </c>
      <c r="G16" s="17">
        <f>G15/4</f>
        <v>22.25</v>
      </c>
      <c r="H16" s="16">
        <f>H15/7</f>
        <v>35.178571428571431</v>
      </c>
      <c r="I16" s="17">
        <f>I15/7</f>
        <v>37.142857142857146</v>
      </c>
      <c r="J16" s="17">
        <f>J15/7</f>
        <v>19</v>
      </c>
      <c r="K16" s="17">
        <f>K15/5</f>
        <v>7.8</v>
      </c>
      <c r="L16" s="18">
        <f>L15/4</f>
        <v>22</v>
      </c>
      <c r="M16" s="18">
        <f>M15/7</f>
        <v>5.8571428571428568</v>
      </c>
      <c r="N16" s="26">
        <f>N15/7</f>
        <v>0.42857142857142855</v>
      </c>
      <c r="O16" s="26">
        <f>O15/5</f>
        <v>0.4</v>
      </c>
      <c r="P16" s="18">
        <f>P15/4</f>
        <v>9</v>
      </c>
    </row>
    <row r="17" spans="1:17" ht="15.95" customHeight="1" x14ac:dyDescent="0.25">
      <c r="A17" s="32" t="s">
        <v>21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</row>
    <row r="18" spans="1:17" ht="15.95" customHeight="1" x14ac:dyDescent="0.25">
      <c r="A18" s="8" t="s">
        <v>6</v>
      </c>
      <c r="B18" s="9" t="s">
        <v>22</v>
      </c>
      <c r="C18" s="12">
        <v>47.5</v>
      </c>
      <c r="D18" s="13">
        <v>53</v>
      </c>
      <c r="E18" s="13">
        <v>25</v>
      </c>
      <c r="F18" s="13">
        <v>2</v>
      </c>
      <c r="G18" s="13">
        <v>26</v>
      </c>
      <c r="H18" s="12">
        <v>33.75</v>
      </c>
      <c r="I18" s="13">
        <v>41</v>
      </c>
      <c r="J18" s="13">
        <v>15</v>
      </c>
      <c r="K18" s="13">
        <v>2</v>
      </c>
      <c r="L18" s="15">
        <v>24</v>
      </c>
      <c r="M18" s="15">
        <v>18</v>
      </c>
      <c r="N18" s="15">
        <v>0</v>
      </c>
      <c r="O18" s="15">
        <v>2</v>
      </c>
      <c r="P18" s="15">
        <v>16</v>
      </c>
    </row>
    <row r="19" spans="1:17" ht="15.95" customHeight="1" x14ac:dyDescent="0.25">
      <c r="A19" s="8" t="s">
        <v>8</v>
      </c>
      <c r="B19" s="9" t="s">
        <v>23</v>
      </c>
      <c r="C19" s="12">
        <v>14</v>
      </c>
      <c r="D19" s="13">
        <v>17</v>
      </c>
      <c r="E19" s="13">
        <v>9</v>
      </c>
      <c r="F19" s="13" t="s">
        <v>42</v>
      </c>
      <c r="G19" s="13">
        <v>8</v>
      </c>
      <c r="H19" s="12">
        <v>12.5</v>
      </c>
      <c r="I19" s="13">
        <v>15</v>
      </c>
      <c r="J19" s="13">
        <v>7</v>
      </c>
      <c r="K19" s="13" t="s">
        <v>42</v>
      </c>
      <c r="L19" s="15">
        <v>8</v>
      </c>
      <c r="M19" s="15">
        <v>9</v>
      </c>
      <c r="N19" s="15">
        <v>1</v>
      </c>
      <c r="O19" s="15" t="s">
        <v>42</v>
      </c>
      <c r="P19" s="15">
        <v>8</v>
      </c>
    </row>
    <row r="20" spans="1:17" ht="15.95" customHeight="1" x14ac:dyDescent="0.25">
      <c r="A20" s="8" t="s">
        <v>10</v>
      </c>
      <c r="B20" s="9" t="s">
        <v>24</v>
      </c>
      <c r="C20" s="12">
        <v>36</v>
      </c>
      <c r="D20" s="13">
        <v>45</v>
      </c>
      <c r="E20" s="13">
        <v>22</v>
      </c>
      <c r="F20" s="13" t="s">
        <v>42</v>
      </c>
      <c r="G20" s="13">
        <v>23</v>
      </c>
      <c r="H20" s="12">
        <v>29</v>
      </c>
      <c r="I20" s="13">
        <v>37</v>
      </c>
      <c r="J20" s="13">
        <v>14</v>
      </c>
      <c r="K20" s="13" t="s">
        <v>42</v>
      </c>
      <c r="L20" s="15">
        <v>23</v>
      </c>
      <c r="M20" s="15">
        <v>18</v>
      </c>
      <c r="N20" s="15">
        <v>1</v>
      </c>
      <c r="O20" s="15" t="s">
        <v>42</v>
      </c>
      <c r="P20" s="15">
        <v>17</v>
      </c>
      <c r="Q20" s="28"/>
    </row>
    <row r="21" spans="1:17" ht="15.95" customHeight="1" x14ac:dyDescent="0.25">
      <c r="A21" s="8" t="s">
        <v>12</v>
      </c>
      <c r="B21" s="9" t="s">
        <v>25</v>
      </c>
      <c r="C21" s="12">
        <v>61</v>
      </c>
      <c r="D21" s="13">
        <v>61</v>
      </c>
      <c r="E21" s="13">
        <v>32</v>
      </c>
      <c r="F21" s="13">
        <v>5</v>
      </c>
      <c r="G21" s="13">
        <v>24</v>
      </c>
      <c r="H21" s="12">
        <v>52.5</v>
      </c>
      <c r="I21" s="13">
        <v>52</v>
      </c>
      <c r="J21" s="13">
        <v>24</v>
      </c>
      <c r="K21" s="13">
        <v>4</v>
      </c>
      <c r="L21" s="15">
        <v>24</v>
      </c>
      <c r="M21" s="15">
        <v>9</v>
      </c>
      <c r="N21" s="15">
        <v>1</v>
      </c>
      <c r="O21" s="15">
        <v>0</v>
      </c>
      <c r="P21" s="15">
        <v>8</v>
      </c>
    </row>
    <row r="22" spans="1:17" ht="15.95" customHeight="1" x14ac:dyDescent="0.25">
      <c r="A22" s="30" t="s">
        <v>20</v>
      </c>
      <c r="B22" s="30"/>
      <c r="C22" s="16">
        <f t="shared" ref="C22:P22" si="1">SUM(C18:C21)</f>
        <v>158.5</v>
      </c>
      <c r="D22" s="17">
        <f t="shared" si="1"/>
        <v>176</v>
      </c>
      <c r="E22" s="17">
        <f t="shared" si="1"/>
        <v>88</v>
      </c>
      <c r="F22" s="17">
        <f t="shared" si="1"/>
        <v>7</v>
      </c>
      <c r="G22" s="17">
        <f t="shared" si="1"/>
        <v>81</v>
      </c>
      <c r="H22" s="16">
        <f t="shared" si="1"/>
        <v>127.75</v>
      </c>
      <c r="I22" s="17">
        <f t="shared" si="1"/>
        <v>145</v>
      </c>
      <c r="J22" s="17">
        <f t="shared" si="1"/>
        <v>60</v>
      </c>
      <c r="K22" s="17">
        <f t="shared" si="1"/>
        <v>6</v>
      </c>
      <c r="L22" s="18">
        <f t="shared" si="1"/>
        <v>79</v>
      </c>
      <c r="M22" s="18">
        <f t="shared" si="1"/>
        <v>54</v>
      </c>
      <c r="N22" s="18">
        <f t="shared" si="1"/>
        <v>3</v>
      </c>
      <c r="O22" s="18">
        <f t="shared" si="1"/>
        <v>2</v>
      </c>
      <c r="P22" s="18">
        <f t="shared" si="1"/>
        <v>49</v>
      </c>
    </row>
    <row r="23" spans="1:17" ht="15.95" customHeight="1" x14ac:dyDescent="0.25">
      <c r="A23" s="35" t="s">
        <v>43</v>
      </c>
      <c r="B23" s="36"/>
      <c r="C23" s="16">
        <f>C22/4</f>
        <v>39.625</v>
      </c>
      <c r="D23" s="17">
        <f>D22/4</f>
        <v>44</v>
      </c>
      <c r="E23" s="17">
        <f>E22/4</f>
        <v>22</v>
      </c>
      <c r="F23" s="17">
        <f>F22/2</f>
        <v>3.5</v>
      </c>
      <c r="G23" s="17">
        <f>G22/4</f>
        <v>20.25</v>
      </c>
      <c r="H23" s="16">
        <f>H22/4</f>
        <v>31.9375</v>
      </c>
      <c r="I23" s="17">
        <f>I22/4</f>
        <v>36.25</v>
      </c>
      <c r="J23" s="17">
        <f>J22/4</f>
        <v>15</v>
      </c>
      <c r="K23" s="17">
        <f>K22/2</f>
        <v>3</v>
      </c>
      <c r="L23" s="18">
        <f>L22/4</f>
        <v>19.75</v>
      </c>
      <c r="M23" s="18">
        <f>M22/4</f>
        <v>13.5</v>
      </c>
      <c r="N23" s="18">
        <f>N22/4</f>
        <v>0.75</v>
      </c>
      <c r="O23" s="18">
        <f>O22/2</f>
        <v>1</v>
      </c>
      <c r="P23" s="18">
        <f>P22/4</f>
        <v>12.25</v>
      </c>
    </row>
    <row r="24" spans="1:17" ht="27.75" customHeight="1" x14ac:dyDescent="0.25">
      <c r="A24" s="31" t="s">
        <v>26</v>
      </c>
      <c r="B24" s="31"/>
      <c r="C24" s="20">
        <f t="shared" ref="C24:P24" si="2">SUM(C15,C22)</f>
        <v>474.19</v>
      </c>
      <c r="D24" s="21">
        <f t="shared" si="2"/>
        <v>507</v>
      </c>
      <c r="E24" s="21">
        <f t="shared" si="2"/>
        <v>288</v>
      </c>
      <c r="F24" s="21">
        <f t="shared" si="2"/>
        <v>49</v>
      </c>
      <c r="G24" s="21">
        <f t="shared" si="2"/>
        <v>170</v>
      </c>
      <c r="H24" s="22">
        <f t="shared" si="2"/>
        <v>374</v>
      </c>
      <c r="I24" s="21">
        <f t="shared" si="2"/>
        <v>405</v>
      </c>
      <c r="J24" s="21">
        <f t="shared" si="2"/>
        <v>193</v>
      </c>
      <c r="K24" s="21">
        <f t="shared" si="2"/>
        <v>45</v>
      </c>
      <c r="L24" s="25">
        <f t="shared" si="2"/>
        <v>167</v>
      </c>
      <c r="M24" s="25">
        <f t="shared" si="2"/>
        <v>95</v>
      </c>
      <c r="N24" s="25">
        <f t="shared" si="2"/>
        <v>6</v>
      </c>
      <c r="O24" s="25">
        <f t="shared" si="2"/>
        <v>4</v>
      </c>
      <c r="P24" s="25">
        <f t="shared" si="2"/>
        <v>85</v>
      </c>
    </row>
    <row r="25" spans="1:17" ht="32.25" customHeight="1" x14ac:dyDescent="0.25">
      <c r="A25" s="31" t="s">
        <v>27</v>
      </c>
      <c r="B25" s="31"/>
      <c r="C25" s="20">
        <f>C24/11</f>
        <v>43.108181818181819</v>
      </c>
      <c r="D25" s="20">
        <f>D24/11</f>
        <v>46.090909090909093</v>
      </c>
      <c r="E25" s="20">
        <f>E24/11</f>
        <v>26.181818181818183</v>
      </c>
      <c r="F25" s="20">
        <f>F24/7</f>
        <v>7</v>
      </c>
      <c r="G25" s="20">
        <f>G24/8</f>
        <v>21.25</v>
      </c>
      <c r="H25" s="22">
        <f>H24/11</f>
        <v>34</v>
      </c>
      <c r="I25" s="20">
        <f>I24/11</f>
        <v>36.81818181818182</v>
      </c>
      <c r="J25" s="20">
        <f>J24/11</f>
        <v>17.545454545454547</v>
      </c>
      <c r="K25" s="20">
        <f>K24/7</f>
        <v>6.4285714285714288</v>
      </c>
      <c r="L25" s="23">
        <f>L24/8</f>
        <v>20.875</v>
      </c>
      <c r="M25" s="23">
        <f>M24/11</f>
        <v>8.6363636363636367</v>
      </c>
      <c r="N25" s="23">
        <f>N24/5</f>
        <v>1.2</v>
      </c>
      <c r="O25" s="25">
        <f>O24/2</f>
        <v>2</v>
      </c>
      <c r="P25" s="23">
        <f>P24/8</f>
        <v>10.625</v>
      </c>
    </row>
  </sheetData>
  <mergeCells count="22">
    <mergeCell ref="A2:P2"/>
    <mergeCell ref="I5:L5"/>
    <mergeCell ref="M4:P4"/>
    <mergeCell ref="M5:P5"/>
    <mergeCell ref="A7:P7"/>
    <mergeCell ref="D4:G4"/>
    <mergeCell ref="H4:L4"/>
    <mergeCell ref="H5:H6"/>
    <mergeCell ref="A4:A6"/>
    <mergeCell ref="B4:B6"/>
    <mergeCell ref="C4:C6"/>
    <mergeCell ref="D5:D6"/>
    <mergeCell ref="E5:E6"/>
    <mergeCell ref="F5:F6"/>
    <mergeCell ref="G5:G6"/>
    <mergeCell ref="A15:B15"/>
    <mergeCell ref="A22:B22"/>
    <mergeCell ref="A24:B24"/>
    <mergeCell ref="A25:B25"/>
    <mergeCell ref="A17:P17"/>
    <mergeCell ref="A16:B16"/>
    <mergeCell ref="A23:B23"/>
  </mergeCells>
  <pageMargins left="0.70000000000000007" right="0.70000000000000007" top="0.75" bottom="0.75" header="0.30000000000000004" footer="0.30000000000000004"/>
  <pageSetup orientation="portrait" r:id="rId1"/>
  <ignoredErrors>
    <ignoredError sqref="K23 F23 O23:O2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V23"/>
  <sheetViews>
    <sheetView workbookViewId="0">
      <selection activeCell="T26" sqref="T26"/>
    </sheetView>
  </sheetViews>
  <sheetFormatPr defaultRowHeight="15" x14ac:dyDescent="0.25"/>
  <cols>
    <col min="1" max="1" width="5.42578125" customWidth="1"/>
    <col min="2" max="2" width="27.140625" customWidth="1"/>
    <col min="3" max="3" width="7.85546875" customWidth="1"/>
    <col min="4" max="4" width="6.5703125" customWidth="1"/>
    <col min="5" max="5" width="7.42578125" customWidth="1"/>
    <col min="6" max="6" width="7" customWidth="1"/>
    <col min="7" max="7" width="7.140625" customWidth="1"/>
    <col min="8" max="8" width="6.7109375" customWidth="1"/>
    <col min="9" max="9" width="7.42578125" customWidth="1"/>
    <col min="10" max="10" width="7" customWidth="1"/>
    <col min="11" max="12" width="6.7109375" customWidth="1"/>
    <col min="13" max="13" width="7.140625" customWidth="1"/>
    <col min="14" max="14" width="7.28515625" customWidth="1"/>
    <col min="15" max="15" width="6.5703125" customWidth="1"/>
    <col min="16" max="16" width="6.28515625" customWidth="1"/>
    <col min="17" max="17" width="7.140625" customWidth="1"/>
    <col min="18" max="18" width="7" customWidth="1"/>
    <col min="19" max="19" width="6.42578125" customWidth="1"/>
    <col min="20" max="20" width="5.85546875" customWidth="1"/>
    <col min="21" max="21" width="7.140625" customWidth="1"/>
    <col min="22" max="22" width="6.5703125" customWidth="1"/>
  </cols>
  <sheetData>
    <row r="2" spans="1:22" ht="15.75" x14ac:dyDescent="0.25">
      <c r="A2" s="37" t="s">
        <v>45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5.7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6.5" customHeight="1" x14ac:dyDescent="0.25">
      <c r="A4" s="50" t="s">
        <v>0</v>
      </c>
      <c r="B4" s="63" t="s">
        <v>1</v>
      </c>
      <c r="C4" s="59" t="s">
        <v>35</v>
      </c>
      <c r="D4" s="60"/>
      <c r="E4" s="60"/>
      <c r="F4" s="60"/>
      <c r="G4" s="60"/>
      <c r="H4" s="60"/>
      <c r="I4" s="60"/>
      <c r="J4" s="61"/>
      <c r="K4" s="59" t="s">
        <v>37</v>
      </c>
      <c r="L4" s="60"/>
      <c r="M4" s="60"/>
      <c r="N4" s="60"/>
      <c r="O4" s="60"/>
      <c r="P4" s="60"/>
      <c r="Q4" s="60"/>
      <c r="R4" s="61"/>
      <c r="S4" s="66" t="s">
        <v>38</v>
      </c>
      <c r="T4" s="66"/>
      <c r="U4" s="66"/>
      <c r="V4" s="66"/>
    </row>
    <row r="5" spans="1:22" ht="18" customHeight="1" x14ac:dyDescent="0.25">
      <c r="A5" s="52"/>
      <c r="B5" s="64"/>
      <c r="C5" s="59" t="s">
        <v>32</v>
      </c>
      <c r="D5" s="60"/>
      <c r="E5" s="60"/>
      <c r="F5" s="61"/>
      <c r="G5" s="59" t="s">
        <v>36</v>
      </c>
      <c r="H5" s="60"/>
      <c r="I5" s="60"/>
      <c r="J5" s="61"/>
      <c r="K5" s="59" t="s">
        <v>32</v>
      </c>
      <c r="L5" s="60"/>
      <c r="M5" s="60"/>
      <c r="N5" s="61"/>
      <c r="O5" s="59" t="s">
        <v>36</v>
      </c>
      <c r="P5" s="60"/>
      <c r="Q5" s="60"/>
      <c r="R5" s="61"/>
      <c r="S5" s="53" t="s">
        <v>32</v>
      </c>
      <c r="T5" s="53" t="s">
        <v>2</v>
      </c>
      <c r="U5" s="55" t="s">
        <v>3</v>
      </c>
      <c r="V5" s="55" t="s">
        <v>4</v>
      </c>
    </row>
    <row r="6" spans="1:22" ht="30.75" customHeight="1" x14ac:dyDescent="0.25">
      <c r="A6" s="51"/>
      <c r="B6" s="65"/>
      <c r="C6" s="11" t="s">
        <v>32</v>
      </c>
      <c r="D6" s="11" t="s">
        <v>2</v>
      </c>
      <c r="E6" s="6" t="s">
        <v>3</v>
      </c>
      <c r="F6" s="6" t="s">
        <v>4</v>
      </c>
      <c r="G6" s="11" t="s">
        <v>32</v>
      </c>
      <c r="H6" s="11" t="s">
        <v>2</v>
      </c>
      <c r="I6" s="6" t="s">
        <v>3</v>
      </c>
      <c r="J6" s="6" t="s">
        <v>4</v>
      </c>
      <c r="K6" s="11" t="s">
        <v>32</v>
      </c>
      <c r="L6" s="11" t="s">
        <v>2</v>
      </c>
      <c r="M6" s="6" t="s">
        <v>3</v>
      </c>
      <c r="N6" s="6" t="s">
        <v>4</v>
      </c>
      <c r="O6" s="11" t="s">
        <v>32</v>
      </c>
      <c r="P6" s="11" t="s">
        <v>2</v>
      </c>
      <c r="Q6" s="6" t="s">
        <v>3</v>
      </c>
      <c r="R6" s="6" t="s">
        <v>4</v>
      </c>
      <c r="S6" s="54"/>
      <c r="T6" s="54"/>
      <c r="U6" s="56"/>
      <c r="V6" s="56"/>
    </row>
    <row r="7" spans="1:22" ht="15.95" customHeight="1" x14ac:dyDescent="0.25">
      <c r="A7" s="47" t="s">
        <v>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9"/>
    </row>
    <row r="8" spans="1:22" ht="15.95" customHeight="1" x14ac:dyDescent="0.25">
      <c r="A8" s="2" t="s">
        <v>6</v>
      </c>
      <c r="B8" s="7" t="s">
        <v>7</v>
      </c>
      <c r="C8" s="14">
        <v>51</v>
      </c>
      <c r="D8" s="14">
        <v>35</v>
      </c>
      <c r="E8" s="27">
        <f>15+1</f>
        <v>16</v>
      </c>
      <c r="F8" s="14" t="s">
        <v>42</v>
      </c>
      <c r="G8" s="14">
        <v>30</v>
      </c>
      <c r="H8" s="14">
        <v>16</v>
      </c>
      <c r="I8" s="27">
        <f>13+1</f>
        <v>14</v>
      </c>
      <c r="J8" s="14" t="s">
        <v>42</v>
      </c>
      <c r="K8" s="14">
        <v>26</v>
      </c>
      <c r="L8" s="14">
        <v>11</v>
      </c>
      <c r="M8" s="27">
        <f>14+1</f>
        <v>15</v>
      </c>
      <c r="N8" s="14" t="s">
        <v>42</v>
      </c>
      <c r="O8" s="14">
        <v>16</v>
      </c>
      <c r="P8" s="14">
        <v>2</v>
      </c>
      <c r="Q8" s="27">
        <f>13+1</f>
        <v>14</v>
      </c>
      <c r="R8" s="14" t="s">
        <v>42</v>
      </c>
      <c r="S8" s="14">
        <v>6</v>
      </c>
      <c r="T8" s="14">
        <v>6</v>
      </c>
      <c r="U8" s="14">
        <v>0</v>
      </c>
      <c r="V8" s="14" t="s">
        <v>42</v>
      </c>
    </row>
    <row r="9" spans="1:22" ht="15.95" customHeight="1" x14ac:dyDescent="0.25">
      <c r="A9" s="2" t="s">
        <v>8</v>
      </c>
      <c r="B9" s="7" t="s">
        <v>9</v>
      </c>
      <c r="C9" s="14">
        <v>32</v>
      </c>
      <c r="D9" s="14">
        <v>18</v>
      </c>
      <c r="E9" s="14">
        <v>2</v>
      </c>
      <c r="F9" s="14">
        <v>12</v>
      </c>
      <c r="G9" s="14">
        <v>10</v>
      </c>
      <c r="H9" s="14">
        <v>7</v>
      </c>
      <c r="I9" s="14">
        <v>1</v>
      </c>
      <c r="J9" s="14">
        <v>2</v>
      </c>
      <c r="K9" s="14">
        <v>19</v>
      </c>
      <c r="L9" s="14">
        <v>8</v>
      </c>
      <c r="M9" s="14">
        <v>0</v>
      </c>
      <c r="N9" s="14">
        <v>11</v>
      </c>
      <c r="O9" s="14">
        <v>9</v>
      </c>
      <c r="P9" s="14">
        <v>3</v>
      </c>
      <c r="Q9" s="14">
        <v>0</v>
      </c>
      <c r="R9" s="14">
        <v>6</v>
      </c>
      <c r="S9" s="14">
        <v>6</v>
      </c>
      <c r="T9" s="14">
        <v>4</v>
      </c>
      <c r="U9" s="14">
        <v>1</v>
      </c>
      <c r="V9" s="14">
        <v>1</v>
      </c>
    </row>
    <row r="10" spans="1:22" ht="15.95" customHeight="1" x14ac:dyDescent="0.25">
      <c r="A10" s="2" t="s">
        <v>10</v>
      </c>
      <c r="B10" s="7" t="s">
        <v>11</v>
      </c>
      <c r="C10" s="14">
        <v>27</v>
      </c>
      <c r="D10" s="14">
        <v>19</v>
      </c>
      <c r="E10" s="14">
        <v>0</v>
      </c>
      <c r="F10" s="14">
        <v>8</v>
      </c>
      <c r="G10" s="14">
        <v>10</v>
      </c>
      <c r="H10" s="14">
        <v>7</v>
      </c>
      <c r="I10" s="14">
        <v>0</v>
      </c>
      <c r="J10" s="14">
        <v>3</v>
      </c>
      <c r="K10" s="14">
        <v>16</v>
      </c>
      <c r="L10" s="14">
        <v>5</v>
      </c>
      <c r="M10" s="14">
        <v>1</v>
      </c>
      <c r="N10" s="14">
        <v>10</v>
      </c>
      <c r="O10" s="14">
        <v>9</v>
      </c>
      <c r="P10" s="14">
        <v>5</v>
      </c>
      <c r="Q10" s="14">
        <v>1</v>
      </c>
      <c r="R10" s="14">
        <v>3</v>
      </c>
      <c r="S10" s="14">
        <v>6</v>
      </c>
      <c r="T10" s="14">
        <v>3</v>
      </c>
      <c r="U10" s="14">
        <v>1</v>
      </c>
      <c r="V10" s="14">
        <v>2</v>
      </c>
    </row>
    <row r="11" spans="1:22" ht="15.95" customHeight="1" x14ac:dyDescent="0.25">
      <c r="A11" s="2" t="s">
        <v>12</v>
      </c>
      <c r="B11" s="7" t="s">
        <v>13</v>
      </c>
      <c r="C11" s="27">
        <v>6</v>
      </c>
      <c r="D11" s="27">
        <v>4</v>
      </c>
      <c r="E11" s="27">
        <v>2</v>
      </c>
      <c r="F11" s="27" t="s">
        <v>42</v>
      </c>
      <c r="G11" s="14">
        <v>0</v>
      </c>
      <c r="H11" s="14">
        <v>0</v>
      </c>
      <c r="I11" s="14">
        <v>0</v>
      </c>
      <c r="J11" s="14" t="s">
        <v>42</v>
      </c>
      <c r="K11" s="14">
        <v>4</v>
      </c>
      <c r="L11" s="14">
        <v>3</v>
      </c>
      <c r="M11" s="14">
        <v>1</v>
      </c>
      <c r="N11" s="14" t="s">
        <v>42</v>
      </c>
      <c r="O11" s="14">
        <v>2</v>
      </c>
      <c r="P11" s="14">
        <v>1</v>
      </c>
      <c r="Q11" s="14">
        <v>1</v>
      </c>
      <c r="R11" s="14" t="s">
        <v>42</v>
      </c>
      <c r="S11" s="14">
        <v>4</v>
      </c>
      <c r="T11" s="14">
        <v>2</v>
      </c>
      <c r="U11" s="14">
        <v>3</v>
      </c>
      <c r="V11" s="14" t="s">
        <v>42</v>
      </c>
    </row>
    <row r="12" spans="1:22" ht="15.95" customHeight="1" x14ac:dyDescent="0.25">
      <c r="A12" s="2" t="s">
        <v>14</v>
      </c>
      <c r="B12" s="7" t="s">
        <v>15</v>
      </c>
      <c r="C12" s="14">
        <v>18</v>
      </c>
      <c r="D12" s="14">
        <v>18</v>
      </c>
      <c r="E12" s="14" t="s">
        <v>42</v>
      </c>
      <c r="F12" s="14" t="s">
        <v>42</v>
      </c>
      <c r="G12" s="14">
        <v>10</v>
      </c>
      <c r="H12" s="14">
        <v>10</v>
      </c>
      <c r="I12" s="14" t="s">
        <v>42</v>
      </c>
      <c r="J12" s="14" t="s">
        <v>42</v>
      </c>
      <c r="K12" s="14">
        <v>8</v>
      </c>
      <c r="L12" s="14">
        <v>8</v>
      </c>
      <c r="M12" s="14" t="s">
        <v>42</v>
      </c>
      <c r="N12" s="14" t="s">
        <v>42</v>
      </c>
      <c r="O12" s="14">
        <v>4</v>
      </c>
      <c r="P12" s="14">
        <v>4</v>
      </c>
      <c r="Q12" s="14" t="s">
        <v>42</v>
      </c>
      <c r="R12" s="14" t="s">
        <v>42</v>
      </c>
      <c r="S12" s="14">
        <v>1</v>
      </c>
      <c r="T12" s="14">
        <v>1</v>
      </c>
      <c r="U12" s="14" t="s">
        <v>42</v>
      </c>
      <c r="V12" s="14" t="s">
        <v>42</v>
      </c>
    </row>
    <row r="13" spans="1:22" ht="15.95" customHeight="1" x14ac:dyDescent="0.25">
      <c r="A13" s="2" t="s">
        <v>16</v>
      </c>
      <c r="B13" s="7" t="s">
        <v>17</v>
      </c>
      <c r="C13" s="14">
        <v>17</v>
      </c>
      <c r="D13" s="14">
        <v>12</v>
      </c>
      <c r="E13" s="14">
        <v>0</v>
      </c>
      <c r="F13" s="14">
        <v>5</v>
      </c>
      <c r="G13" s="14">
        <v>5</v>
      </c>
      <c r="H13" s="14">
        <v>3</v>
      </c>
      <c r="I13" s="14">
        <v>0</v>
      </c>
      <c r="J13" s="14">
        <v>2</v>
      </c>
      <c r="K13" s="14">
        <v>18</v>
      </c>
      <c r="L13" s="14">
        <v>9</v>
      </c>
      <c r="M13" s="14">
        <v>1</v>
      </c>
      <c r="N13" s="14">
        <v>8</v>
      </c>
      <c r="O13" s="14">
        <v>14</v>
      </c>
      <c r="P13" s="14">
        <v>7</v>
      </c>
      <c r="Q13" s="14">
        <v>1</v>
      </c>
      <c r="R13" s="14">
        <v>6</v>
      </c>
      <c r="S13" s="14">
        <v>2</v>
      </c>
      <c r="T13" s="14">
        <v>1</v>
      </c>
      <c r="U13" s="14">
        <v>0</v>
      </c>
      <c r="V13" s="14">
        <v>1</v>
      </c>
    </row>
    <row r="14" spans="1:22" ht="15.95" customHeight="1" x14ac:dyDescent="0.25">
      <c r="A14" s="2" t="s">
        <v>18</v>
      </c>
      <c r="B14" s="7" t="s">
        <v>19</v>
      </c>
      <c r="C14" s="14">
        <v>44</v>
      </c>
      <c r="D14" s="14">
        <v>25</v>
      </c>
      <c r="E14" s="14" t="s">
        <v>42</v>
      </c>
      <c r="F14" s="14">
        <v>19</v>
      </c>
      <c r="G14" s="14">
        <v>13</v>
      </c>
      <c r="H14" s="14">
        <v>8</v>
      </c>
      <c r="I14" s="14" t="s">
        <v>42</v>
      </c>
      <c r="J14" s="14">
        <v>5</v>
      </c>
      <c r="K14" s="14">
        <v>11</v>
      </c>
      <c r="L14" s="14">
        <v>4</v>
      </c>
      <c r="M14" s="14" t="s">
        <v>42</v>
      </c>
      <c r="N14" s="14">
        <v>7</v>
      </c>
      <c r="O14" s="14">
        <v>7</v>
      </c>
      <c r="P14" s="14">
        <v>3</v>
      </c>
      <c r="Q14" s="14" t="s">
        <v>42</v>
      </c>
      <c r="R14" s="14">
        <v>4</v>
      </c>
      <c r="S14" s="14">
        <v>9</v>
      </c>
      <c r="T14" s="14">
        <v>4</v>
      </c>
      <c r="U14" s="14" t="s">
        <v>42</v>
      </c>
      <c r="V14" s="14">
        <v>5</v>
      </c>
    </row>
    <row r="15" spans="1:22" ht="15.95" customHeight="1" x14ac:dyDescent="0.25">
      <c r="A15" s="62" t="s">
        <v>20</v>
      </c>
      <c r="B15" s="35"/>
      <c r="C15" s="19">
        <f t="shared" ref="C15:V15" si="0">SUM(C8:C14)</f>
        <v>195</v>
      </c>
      <c r="D15" s="19">
        <f t="shared" si="0"/>
        <v>131</v>
      </c>
      <c r="E15" s="19">
        <f t="shared" si="0"/>
        <v>20</v>
      </c>
      <c r="F15" s="19">
        <f t="shared" si="0"/>
        <v>44</v>
      </c>
      <c r="G15" s="19">
        <f t="shared" si="0"/>
        <v>78</v>
      </c>
      <c r="H15" s="19">
        <f t="shared" si="0"/>
        <v>51</v>
      </c>
      <c r="I15" s="19">
        <f t="shared" si="0"/>
        <v>15</v>
      </c>
      <c r="J15" s="19">
        <f t="shared" si="0"/>
        <v>12</v>
      </c>
      <c r="K15" s="19">
        <f t="shared" si="0"/>
        <v>102</v>
      </c>
      <c r="L15" s="19">
        <f t="shared" si="0"/>
        <v>48</v>
      </c>
      <c r="M15" s="19">
        <f t="shared" si="0"/>
        <v>18</v>
      </c>
      <c r="N15" s="19">
        <f t="shared" si="0"/>
        <v>36</v>
      </c>
      <c r="O15" s="19">
        <f t="shared" si="0"/>
        <v>61</v>
      </c>
      <c r="P15" s="19">
        <f t="shared" si="0"/>
        <v>25</v>
      </c>
      <c r="Q15" s="19">
        <f t="shared" si="0"/>
        <v>17</v>
      </c>
      <c r="R15" s="19">
        <f t="shared" si="0"/>
        <v>19</v>
      </c>
      <c r="S15" s="19">
        <f t="shared" si="0"/>
        <v>34</v>
      </c>
      <c r="T15" s="19">
        <f t="shared" si="0"/>
        <v>21</v>
      </c>
      <c r="U15" s="19">
        <f t="shared" si="0"/>
        <v>5</v>
      </c>
      <c r="V15" s="19">
        <f t="shared" si="0"/>
        <v>9</v>
      </c>
    </row>
    <row r="16" spans="1:22" ht="15.95" customHeight="1" x14ac:dyDescent="0.25">
      <c r="A16" s="47" t="s">
        <v>21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9"/>
    </row>
    <row r="17" spans="1:22" ht="15.95" customHeight="1" x14ac:dyDescent="0.25">
      <c r="A17" s="2" t="s">
        <v>6</v>
      </c>
      <c r="B17" s="7" t="s">
        <v>22</v>
      </c>
      <c r="C17" s="14">
        <v>22</v>
      </c>
      <c r="D17" s="14">
        <v>11</v>
      </c>
      <c r="E17" s="14">
        <v>0</v>
      </c>
      <c r="F17" s="14">
        <v>11</v>
      </c>
      <c r="G17" s="14">
        <v>8</v>
      </c>
      <c r="H17" s="14">
        <v>4</v>
      </c>
      <c r="I17" s="14">
        <v>0</v>
      </c>
      <c r="J17" s="14">
        <v>4</v>
      </c>
      <c r="K17" s="14">
        <v>26</v>
      </c>
      <c r="L17" s="14">
        <v>13</v>
      </c>
      <c r="M17" s="14">
        <v>2</v>
      </c>
      <c r="N17" s="14">
        <v>11</v>
      </c>
      <c r="O17" s="14">
        <v>11</v>
      </c>
      <c r="P17" s="14">
        <v>6</v>
      </c>
      <c r="Q17" s="14">
        <v>2</v>
      </c>
      <c r="R17" s="14">
        <v>3</v>
      </c>
      <c r="S17" s="14">
        <v>5</v>
      </c>
      <c r="T17" s="14">
        <v>1</v>
      </c>
      <c r="U17" s="14">
        <v>0</v>
      </c>
      <c r="V17" s="14">
        <v>4</v>
      </c>
    </row>
    <row r="18" spans="1:22" ht="15.95" customHeight="1" x14ac:dyDescent="0.25">
      <c r="A18" s="2" t="s">
        <v>8</v>
      </c>
      <c r="B18" s="7" t="s">
        <v>23</v>
      </c>
      <c r="C18" s="14">
        <v>6</v>
      </c>
      <c r="D18" s="14">
        <v>6</v>
      </c>
      <c r="E18" s="14" t="s">
        <v>42</v>
      </c>
      <c r="F18" s="14">
        <v>0</v>
      </c>
      <c r="G18" s="14">
        <v>2</v>
      </c>
      <c r="H18" s="14">
        <v>2</v>
      </c>
      <c r="I18" s="14" t="s">
        <v>42</v>
      </c>
      <c r="J18" s="14">
        <v>0</v>
      </c>
      <c r="K18" s="14">
        <v>5</v>
      </c>
      <c r="L18" s="14">
        <v>1</v>
      </c>
      <c r="M18" s="14" t="s">
        <v>42</v>
      </c>
      <c r="N18" s="14">
        <v>4</v>
      </c>
      <c r="O18" s="14">
        <v>3</v>
      </c>
      <c r="P18" s="14">
        <v>1</v>
      </c>
      <c r="Q18" s="14" t="s">
        <v>42</v>
      </c>
      <c r="R18" s="14">
        <v>2</v>
      </c>
      <c r="S18" s="14">
        <v>6</v>
      </c>
      <c r="T18" s="14">
        <v>2</v>
      </c>
      <c r="U18" s="14" t="s">
        <v>42</v>
      </c>
      <c r="V18" s="14">
        <v>4</v>
      </c>
    </row>
    <row r="19" spans="1:22" ht="15.95" customHeight="1" x14ac:dyDescent="0.25">
      <c r="A19" s="2" t="s">
        <v>10</v>
      </c>
      <c r="B19" s="7" t="s">
        <v>24</v>
      </c>
      <c r="C19" s="14">
        <v>28</v>
      </c>
      <c r="D19" s="14">
        <v>15</v>
      </c>
      <c r="E19" s="14" t="s">
        <v>42</v>
      </c>
      <c r="F19" s="14">
        <v>13</v>
      </c>
      <c r="G19" s="14">
        <v>2</v>
      </c>
      <c r="H19" s="14">
        <v>2</v>
      </c>
      <c r="I19" s="14" t="s">
        <v>42</v>
      </c>
      <c r="J19" s="14">
        <v>0</v>
      </c>
      <c r="K19" s="14">
        <v>16</v>
      </c>
      <c r="L19" s="14">
        <v>7</v>
      </c>
      <c r="M19" s="14" t="s">
        <v>42</v>
      </c>
      <c r="N19" s="14">
        <v>9</v>
      </c>
      <c r="O19" s="14">
        <v>8</v>
      </c>
      <c r="P19" s="14">
        <v>3</v>
      </c>
      <c r="Q19" s="14" t="s">
        <v>42</v>
      </c>
      <c r="R19" s="14">
        <v>5</v>
      </c>
      <c r="S19" s="14">
        <v>1</v>
      </c>
      <c r="T19" s="14">
        <v>0</v>
      </c>
      <c r="U19" s="14" t="s">
        <v>42</v>
      </c>
      <c r="V19" s="14">
        <v>1</v>
      </c>
    </row>
    <row r="20" spans="1:22" ht="15.95" customHeight="1" x14ac:dyDescent="0.25">
      <c r="A20" s="2" t="s">
        <v>12</v>
      </c>
      <c r="B20" s="7" t="s">
        <v>25</v>
      </c>
      <c r="C20" s="14">
        <v>33</v>
      </c>
      <c r="D20" s="14">
        <v>20</v>
      </c>
      <c r="E20" s="14">
        <v>3</v>
      </c>
      <c r="F20" s="14">
        <v>10</v>
      </c>
      <c r="G20" s="14">
        <v>9</v>
      </c>
      <c r="H20" s="14">
        <v>6</v>
      </c>
      <c r="I20" s="14">
        <v>1</v>
      </c>
      <c r="J20" s="14">
        <v>2</v>
      </c>
      <c r="K20" s="14">
        <v>19</v>
      </c>
      <c r="L20" s="14">
        <v>8</v>
      </c>
      <c r="M20" s="14">
        <v>2</v>
      </c>
      <c r="N20" s="14">
        <v>9</v>
      </c>
      <c r="O20" s="14">
        <v>11</v>
      </c>
      <c r="P20" s="14">
        <v>5</v>
      </c>
      <c r="Q20" s="14">
        <v>2</v>
      </c>
      <c r="R20" s="14">
        <v>4</v>
      </c>
      <c r="S20" s="14">
        <v>9</v>
      </c>
      <c r="T20" s="14">
        <v>4</v>
      </c>
      <c r="U20" s="14">
        <v>0</v>
      </c>
      <c r="V20" s="14">
        <v>5</v>
      </c>
    </row>
    <row r="21" spans="1:22" ht="15.95" customHeight="1" x14ac:dyDescent="0.25">
      <c r="A21" s="62" t="s">
        <v>20</v>
      </c>
      <c r="B21" s="35"/>
      <c r="C21" s="19">
        <f t="shared" ref="C21:V21" si="1">SUM(C17:C20)</f>
        <v>89</v>
      </c>
      <c r="D21" s="19">
        <f t="shared" si="1"/>
        <v>52</v>
      </c>
      <c r="E21" s="19">
        <f t="shared" si="1"/>
        <v>3</v>
      </c>
      <c r="F21" s="19">
        <f t="shared" si="1"/>
        <v>34</v>
      </c>
      <c r="G21" s="19">
        <f t="shared" si="1"/>
        <v>21</v>
      </c>
      <c r="H21" s="19">
        <f t="shared" si="1"/>
        <v>14</v>
      </c>
      <c r="I21" s="19">
        <f t="shared" si="1"/>
        <v>1</v>
      </c>
      <c r="J21" s="19">
        <f t="shared" si="1"/>
        <v>6</v>
      </c>
      <c r="K21" s="19">
        <f t="shared" si="1"/>
        <v>66</v>
      </c>
      <c r="L21" s="19">
        <f t="shared" si="1"/>
        <v>29</v>
      </c>
      <c r="M21" s="19">
        <f t="shared" si="1"/>
        <v>4</v>
      </c>
      <c r="N21" s="19">
        <f t="shared" si="1"/>
        <v>33</v>
      </c>
      <c r="O21" s="19">
        <f t="shared" si="1"/>
        <v>33</v>
      </c>
      <c r="P21" s="19">
        <f t="shared" si="1"/>
        <v>15</v>
      </c>
      <c r="Q21" s="19">
        <f t="shared" si="1"/>
        <v>4</v>
      </c>
      <c r="R21" s="19">
        <f t="shared" si="1"/>
        <v>14</v>
      </c>
      <c r="S21" s="19">
        <f t="shared" si="1"/>
        <v>21</v>
      </c>
      <c r="T21" s="19">
        <f t="shared" si="1"/>
        <v>7</v>
      </c>
      <c r="U21" s="19">
        <f t="shared" si="1"/>
        <v>0</v>
      </c>
      <c r="V21" s="19">
        <f t="shared" si="1"/>
        <v>14</v>
      </c>
    </row>
    <row r="22" spans="1:22" ht="32.25" customHeight="1" x14ac:dyDescent="0.25">
      <c r="A22" s="57" t="s">
        <v>26</v>
      </c>
      <c r="B22" s="58"/>
      <c r="C22" s="24">
        <f t="shared" ref="C22:V22" si="2">SUM(C15,C21)</f>
        <v>284</v>
      </c>
      <c r="D22" s="24">
        <f t="shared" si="2"/>
        <v>183</v>
      </c>
      <c r="E22" s="24">
        <f t="shared" si="2"/>
        <v>23</v>
      </c>
      <c r="F22" s="24">
        <f t="shared" si="2"/>
        <v>78</v>
      </c>
      <c r="G22" s="24">
        <f t="shared" si="2"/>
        <v>99</v>
      </c>
      <c r="H22" s="24">
        <f t="shared" si="2"/>
        <v>65</v>
      </c>
      <c r="I22" s="24">
        <f t="shared" si="2"/>
        <v>16</v>
      </c>
      <c r="J22" s="24">
        <f t="shared" si="2"/>
        <v>18</v>
      </c>
      <c r="K22" s="24">
        <f t="shared" si="2"/>
        <v>168</v>
      </c>
      <c r="L22" s="24">
        <f t="shared" si="2"/>
        <v>77</v>
      </c>
      <c r="M22" s="24">
        <f t="shared" si="2"/>
        <v>22</v>
      </c>
      <c r="N22" s="24">
        <f t="shared" si="2"/>
        <v>69</v>
      </c>
      <c r="O22" s="24">
        <f t="shared" si="2"/>
        <v>94</v>
      </c>
      <c r="P22" s="24">
        <f t="shared" si="2"/>
        <v>40</v>
      </c>
      <c r="Q22" s="24">
        <f t="shared" si="2"/>
        <v>21</v>
      </c>
      <c r="R22" s="24">
        <f t="shared" si="2"/>
        <v>33</v>
      </c>
      <c r="S22" s="24">
        <f t="shared" si="2"/>
        <v>55</v>
      </c>
      <c r="T22" s="24">
        <f t="shared" si="2"/>
        <v>28</v>
      </c>
      <c r="U22" s="24">
        <f t="shared" si="2"/>
        <v>5</v>
      </c>
      <c r="V22" s="24">
        <f t="shared" si="2"/>
        <v>23</v>
      </c>
    </row>
    <row r="23" spans="1:22" ht="35.25" customHeight="1" x14ac:dyDescent="0.25">
      <c r="A23" s="57" t="s">
        <v>27</v>
      </c>
      <c r="B23" s="58"/>
      <c r="C23" s="23">
        <f>C22/11</f>
        <v>25.818181818181817</v>
      </c>
      <c r="D23" s="23">
        <f>D22/11</f>
        <v>16.636363636363637</v>
      </c>
      <c r="E23" s="23">
        <f>E22/7</f>
        <v>3.2857142857142856</v>
      </c>
      <c r="F23" s="23">
        <f>F22/8</f>
        <v>9.75</v>
      </c>
      <c r="G23" s="23">
        <f>G22/11</f>
        <v>9</v>
      </c>
      <c r="H23" s="23">
        <f>H22/11</f>
        <v>5.9090909090909092</v>
      </c>
      <c r="I23" s="23">
        <f>I22/7</f>
        <v>2.2857142857142856</v>
      </c>
      <c r="J23" s="23">
        <f>J22/8</f>
        <v>2.25</v>
      </c>
      <c r="K23" s="23">
        <f>K22/11</f>
        <v>15.272727272727273</v>
      </c>
      <c r="L23" s="23">
        <f>L228/11</f>
        <v>0</v>
      </c>
      <c r="M23" s="23">
        <f>M22/7</f>
        <v>3.1428571428571428</v>
      </c>
      <c r="N23" s="23">
        <f>N22/8</f>
        <v>8.625</v>
      </c>
      <c r="O23" s="23">
        <f>O22/11</f>
        <v>8.545454545454545</v>
      </c>
      <c r="P23" s="23">
        <f>P22/11</f>
        <v>3.6363636363636362</v>
      </c>
      <c r="Q23" s="23">
        <f>Q22/7</f>
        <v>3</v>
      </c>
      <c r="R23" s="23">
        <f>R22/8</f>
        <v>4.125</v>
      </c>
      <c r="S23" s="23">
        <f>S22/11</f>
        <v>5</v>
      </c>
      <c r="T23" s="23">
        <f>T22/11</f>
        <v>2.5454545454545454</v>
      </c>
      <c r="U23" s="23">
        <f>U22/7</f>
        <v>0.7142857142857143</v>
      </c>
      <c r="V23" s="23">
        <f>V22/8</f>
        <v>2.875</v>
      </c>
    </row>
  </sheetData>
  <mergeCells count="20">
    <mergeCell ref="A4:A6"/>
    <mergeCell ref="B4:B6"/>
    <mergeCell ref="S4:V4"/>
    <mergeCell ref="S5:S6"/>
    <mergeCell ref="T5:T6"/>
    <mergeCell ref="U5:U6"/>
    <mergeCell ref="V5:V6"/>
    <mergeCell ref="A2:V2"/>
    <mergeCell ref="A23:B23"/>
    <mergeCell ref="C4:J4"/>
    <mergeCell ref="C5:F5"/>
    <mergeCell ref="G5:J5"/>
    <mergeCell ref="K4:R4"/>
    <mergeCell ref="K5:N5"/>
    <mergeCell ref="O5:R5"/>
    <mergeCell ref="A7:V7"/>
    <mergeCell ref="A16:V16"/>
    <mergeCell ref="A15:B15"/>
    <mergeCell ref="A21:B21"/>
    <mergeCell ref="A22:B22"/>
  </mergeCells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N27"/>
  <sheetViews>
    <sheetView tabSelected="1" workbookViewId="0">
      <selection activeCell="S18" sqref="S18"/>
    </sheetView>
  </sheetViews>
  <sheetFormatPr defaultRowHeight="15" x14ac:dyDescent="0.25"/>
  <cols>
    <col min="1" max="1" width="5.7109375" customWidth="1"/>
    <col min="2" max="2" width="27" customWidth="1"/>
    <col min="3" max="3" width="8.5703125" customWidth="1"/>
    <col min="4" max="4" width="7.85546875" customWidth="1"/>
    <col min="5" max="5" width="8" customWidth="1"/>
    <col min="6" max="6" width="7.42578125" customWidth="1"/>
    <col min="7" max="7" width="8.42578125" customWidth="1"/>
    <col min="8" max="9" width="7.85546875" customWidth="1"/>
    <col min="10" max="10" width="7.5703125" customWidth="1"/>
    <col min="11" max="11" width="9.140625" customWidth="1"/>
    <col min="12" max="13" width="7.7109375" customWidth="1"/>
    <col min="14" max="14" width="8.42578125" customWidth="1"/>
  </cols>
  <sheetData>
    <row r="2" spans="1:14" ht="15.75" x14ac:dyDescent="0.25">
      <c r="A2" s="67" t="s">
        <v>46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5.7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.95" customHeight="1" x14ac:dyDescent="0.25">
      <c r="A4" s="50" t="s">
        <v>0</v>
      </c>
      <c r="B4" s="50" t="s">
        <v>1</v>
      </c>
      <c r="C4" s="63" t="s">
        <v>39</v>
      </c>
      <c r="D4" s="68"/>
      <c r="E4" s="68"/>
      <c r="F4" s="69"/>
      <c r="G4" s="63" t="s">
        <v>40</v>
      </c>
      <c r="H4" s="68"/>
      <c r="I4" s="68"/>
      <c r="J4" s="69"/>
      <c r="K4" s="63" t="s">
        <v>41</v>
      </c>
      <c r="L4" s="68"/>
      <c r="M4" s="68"/>
      <c r="N4" s="69"/>
    </row>
    <row r="5" spans="1:14" ht="15.95" customHeight="1" x14ac:dyDescent="0.25">
      <c r="A5" s="52"/>
      <c r="B5" s="52"/>
      <c r="C5" s="65"/>
      <c r="D5" s="70"/>
      <c r="E5" s="70"/>
      <c r="F5" s="71"/>
      <c r="G5" s="65"/>
      <c r="H5" s="70"/>
      <c r="I5" s="70"/>
      <c r="J5" s="71"/>
      <c r="K5" s="65"/>
      <c r="L5" s="70"/>
      <c r="M5" s="70"/>
      <c r="N5" s="71"/>
    </row>
    <row r="6" spans="1:14" ht="30.75" customHeight="1" x14ac:dyDescent="0.25">
      <c r="A6" s="52"/>
      <c r="B6" s="52"/>
      <c r="C6" s="4" t="s">
        <v>29</v>
      </c>
      <c r="D6" s="4" t="s">
        <v>2</v>
      </c>
      <c r="E6" s="4" t="s">
        <v>3</v>
      </c>
      <c r="F6" s="4" t="s">
        <v>4</v>
      </c>
      <c r="G6" s="4" t="s">
        <v>29</v>
      </c>
      <c r="H6" s="4" t="s">
        <v>2</v>
      </c>
      <c r="I6" s="4" t="s">
        <v>3</v>
      </c>
      <c r="J6" s="4" t="s">
        <v>4</v>
      </c>
      <c r="K6" s="4" t="s">
        <v>29</v>
      </c>
      <c r="L6" s="4" t="s">
        <v>2</v>
      </c>
      <c r="M6" s="4" t="s">
        <v>3</v>
      </c>
      <c r="N6" s="4" t="s">
        <v>4</v>
      </c>
    </row>
    <row r="7" spans="1:14" ht="15.95" customHeight="1" x14ac:dyDescent="0.25">
      <c r="A7" s="47" t="s">
        <v>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9"/>
    </row>
    <row r="8" spans="1:14" ht="15.95" customHeight="1" x14ac:dyDescent="0.25">
      <c r="A8" s="2" t="s">
        <v>6</v>
      </c>
      <c r="B8" s="3" t="s">
        <v>7</v>
      </c>
      <c r="C8" s="13">
        <f>22199/57</f>
        <v>389.45614035087721</v>
      </c>
      <c r="D8" s="13">
        <f>5574/26</f>
        <v>214.38461538461539</v>
      </c>
      <c r="E8" s="13">
        <f>16625/31</f>
        <v>536.29032258064512</v>
      </c>
      <c r="F8" s="13" t="s">
        <v>42</v>
      </c>
      <c r="G8" s="13">
        <f>360313/57</f>
        <v>6321.2807017543855</v>
      </c>
      <c r="H8" s="13">
        <f>94834/26</f>
        <v>3647.4615384615386</v>
      </c>
      <c r="I8" s="13">
        <f>265479/31</f>
        <v>8563.8387096774186</v>
      </c>
      <c r="J8" s="13" t="s">
        <v>42</v>
      </c>
      <c r="K8" s="15">
        <f>579929/57</f>
        <v>10174.192982456141</v>
      </c>
      <c r="L8" s="15">
        <f>168696/26</f>
        <v>6488.3076923076924</v>
      </c>
      <c r="M8" s="15">
        <f>411233/31</f>
        <v>13265.58064516129</v>
      </c>
      <c r="N8" s="15" t="s">
        <v>42</v>
      </c>
    </row>
    <row r="9" spans="1:14" ht="15.95" customHeight="1" x14ac:dyDescent="0.25">
      <c r="A9" s="2" t="s">
        <v>8</v>
      </c>
      <c r="B9" s="3" t="s">
        <v>9</v>
      </c>
      <c r="C9" s="13">
        <f>10786/44</f>
        <v>245.13636363636363</v>
      </c>
      <c r="D9" s="13">
        <f>3305/19</f>
        <v>173.94736842105263</v>
      </c>
      <c r="E9" s="13">
        <f>625/2</f>
        <v>312.5</v>
      </c>
      <c r="F9" s="13">
        <f>6856/23</f>
        <v>298.08695652173913</v>
      </c>
      <c r="G9" s="13">
        <f>151386/44</f>
        <v>3440.590909090909</v>
      </c>
      <c r="H9" s="13">
        <f>31992/19</f>
        <v>1683.7894736842106</v>
      </c>
      <c r="I9" s="13">
        <f>10286/2</f>
        <v>5143</v>
      </c>
      <c r="J9" s="13">
        <f>109108/23</f>
        <v>4743.826086956522</v>
      </c>
      <c r="K9" s="15">
        <f>215340/44</f>
        <v>4894.090909090909</v>
      </c>
      <c r="L9" s="15">
        <f>45831/19</f>
        <v>2412.1578947368421</v>
      </c>
      <c r="M9" s="15">
        <f>15583/2</f>
        <v>7791.5</v>
      </c>
      <c r="N9" s="15">
        <f>153926/23</f>
        <v>6692.434782608696</v>
      </c>
    </row>
    <row r="10" spans="1:14" ht="15.95" customHeight="1" x14ac:dyDescent="0.25">
      <c r="A10" s="2" t="s">
        <v>10</v>
      </c>
      <c r="B10" s="3" t="s">
        <v>11</v>
      </c>
      <c r="C10" s="13">
        <f>7874/42</f>
        <v>187.47619047619048</v>
      </c>
      <c r="D10" s="13">
        <f>3810/20</f>
        <v>190.5</v>
      </c>
      <c r="E10" s="13">
        <f>543/2</f>
        <v>271.5</v>
      </c>
      <c r="F10" s="13">
        <f>3521/20</f>
        <v>176.05</v>
      </c>
      <c r="G10" s="13">
        <f>180420/42</f>
        <v>4295.7142857142853</v>
      </c>
      <c r="H10" s="13">
        <f>117236/20</f>
        <v>5861.8</v>
      </c>
      <c r="I10" s="13">
        <f>6980/2</f>
        <v>3490</v>
      </c>
      <c r="J10" s="13">
        <f>56204/20</f>
        <v>2810.2</v>
      </c>
      <c r="K10" s="15">
        <f>165316/42</f>
        <v>3936.0952380952381</v>
      </c>
      <c r="L10" s="15">
        <f>62944/20</f>
        <v>3147.2</v>
      </c>
      <c r="M10" s="15">
        <f>16592/2</f>
        <v>8296</v>
      </c>
      <c r="N10" s="15">
        <f>85780/20</f>
        <v>4289</v>
      </c>
    </row>
    <row r="11" spans="1:14" ht="15.95" customHeight="1" x14ac:dyDescent="0.25">
      <c r="A11" s="2" t="s">
        <v>12</v>
      </c>
      <c r="B11" s="3" t="s">
        <v>13</v>
      </c>
      <c r="C11" s="13">
        <f>1418/8</f>
        <v>177.25</v>
      </c>
      <c r="D11" s="13">
        <f>800/5</f>
        <v>160</v>
      </c>
      <c r="E11" s="13">
        <f>618/3</f>
        <v>206</v>
      </c>
      <c r="F11" s="13" t="s">
        <v>42</v>
      </c>
      <c r="G11" s="13">
        <f>12148/8</f>
        <v>1518.5</v>
      </c>
      <c r="H11" s="13">
        <f>6080/5</f>
        <v>1216</v>
      </c>
      <c r="I11" s="13">
        <f>6068/3</f>
        <v>2022.6666666666667</v>
      </c>
      <c r="J11" s="13" t="s">
        <v>42</v>
      </c>
      <c r="K11" s="15">
        <f>21137/8</f>
        <v>2642.125</v>
      </c>
      <c r="L11" s="15">
        <f>9280/5</f>
        <v>1856</v>
      </c>
      <c r="M11" s="15">
        <f>11857/3</f>
        <v>3952.3333333333335</v>
      </c>
      <c r="N11" s="15" t="s">
        <v>42</v>
      </c>
    </row>
    <row r="12" spans="1:14" ht="15.95" customHeight="1" x14ac:dyDescent="0.25">
      <c r="A12" s="2" t="s">
        <v>14</v>
      </c>
      <c r="B12" s="3" t="s">
        <v>15</v>
      </c>
      <c r="C12" s="13">
        <f>5422/22</f>
        <v>246.45454545454547</v>
      </c>
      <c r="D12" s="13">
        <f>5422/22</f>
        <v>246.45454545454547</v>
      </c>
      <c r="E12" s="13" t="s">
        <v>42</v>
      </c>
      <c r="F12" s="13" t="s">
        <v>42</v>
      </c>
      <c r="G12" s="13">
        <f>63524/22</f>
        <v>2887.4545454545455</v>
      </c>
      <c r="H12" s="13">
        <f>63524/22</f>
        <v>2887.4545454545455</v>
      </c>
      <c r="I12" s="13" t="s">
        <v>42</v>
      </c>
      <c r="J12" s="13" t="s">
        <v>42</v>
      </c>
      <c r="K12" s="15">
        <f>100886/22</f>
        <v>4585.727272727273</v>
      </c>
      <c r="L12" s="15">
        <f>100886/22</f>
        <v>4585.727272727273</v>
      </c>
      <c r="M12" s="15" t="s">
        <v>42</v>
      </c>
      <c r="N12" s="15" t="s">
        <v>42</v>
      </c>
    </row>
    <row r="13" spans="1:14" ht="15.95" customHeight="1" x14ac:dyDescent="0.25">
      <c r="A13" s="2" t="s">
        <v>16</v>
      </c>
      <c r="B13" s="3" t="s">
        <v>17</v>
      </c>
      <c r="C13" s="29">
        <f>4091/32</f>
        <v>127.84375</v>
      </c>
      <c r="D13" s="13">
        <f>1453/17</f>
        <v>85.470588235294116</v>
      </c>
      <c r="E13" s="13">
        <f>209/1</f>
        <v>209</v>
      </c>
      <c r="F13" s="13">
        <f>2429/14</f>
        <v>173.5</v>
      </c>
      <c r="G13" s="13">
        <f>45239/32</f>
        <v>1413.71875</v>
      </c>
      <c r="H13" s="13">
        <f>17146/17</f>
        <v>1008.5882352941177</v>
      </c>
      <c r="I13" s="13">
        <f>2328/1</f>
        <v>2328</v>
      </c>
      <c r="J13" s="13">
        <f>25765/14</f>
        <v>1840.3571428571429</v>
      </c>
      <c r="K13" s="15">
        <f>102543/32</f>
        <v>3204.46875</v>
      </c>
      <c r="L13" s="15">
        <f>32619/17</f>
        <v>1918.7647058823529</v>
      </c>
      <c r="M13" s="15">
        <f>4490/1</f>
        <v>4490</v>
      </c>
      <c r="N13" s="15">
        <f>65434/14</f>
        <v>4673.8571428571431</v>
      </c>
    </row>
    <row r="14" spans="1:14" ht="15.95" customHeight="1" x14ac:dyDescent="0.25">
      <c r="A14" s="2" t="s">
        <v>18</v>
      </c>
      <c r="B14" s="3" t="s">
        <v>19</v>
      </c>
      <c r="C14" s="13">
        <f>8024/55</f>
        <v>145.8909090909091</v>
      </c>
      <c r="D14" s="13">
        <f>2845/24</f>
        <v>118.54166666666667</v>
      </c>
      <c r="E14" s="13" t="s">
        <v>42</v>
      </c>
      <c r="F14" s="13">
        <f>5179/31</f>
        <v>167.06451612903226</v>
      </c>
      <c r="G14" s="13">
        <f>125176/55</f>
        <v>2275.9272727272728</v>
      </c>
      <c r="H14" s="13">
        <f>31801/24</f>
        <v>1325.0416666666667</v>
      </c>
      <c r="I14" s="13" t="s">
        <v>42</v>
      </c>
      <c r="J14" s="13">
        <f>93375/31</f>
        <v>3012.0967741935483</v>
      </c>
      <c r="K14" s="15">
        <f>165332/55</f>
        <v>3006.0363636363636</v>
      </c>
      <c r="L14" s="15">
        <f>45322/24</f>
        <v>1888.4166666666667</v>
      </c>
      <c r="M14" s="15" t="s">
        <v>42</v>
      </c>
      <c r="N14" s="15">
        <f>120010/31</f>
        <v>3871.2903225806454</v>
      </c>
    </row>
    <row r="15" spans="1:14" ht="15.95" customHeight="1" x14ac:dyDescent="0.25">
      <c r="A15" s="62" t="s">
        <v>20</v>
      </c>
      <c r="B15" s="62"/>
      <c r="C15" s="17">
        <f t="shared" ref="C15:J15" si="0">SUM(C8:C14)</f>
        <v>1519.5078990088859</v>
      </c>
      <c r="D15" s="17">
        <f t="shared" si="0"/>
        <v>1189.2987841621743</v>
      </c>
      <c r="E15" s="17">
        <f t="shared" si="0"/>
        <v>1535.2903225806451</v>
      </c>
      <c r="F15" s="17">
        <f t="shared" si="0"/>
        <v>814.70147265077139</v>
      </c>
      <c r="G15" s="17">
        <f t="shared" si="0"/>
        <v>22153.186464741397</v>
      </c>
      <c r="H15" s="17">
        <f t="shared" si="0"/>
        <v>17630.135459561079</v>
      </c>
      <c r="I15" s="17">
        <f t="shared" si="0"/>
        <v>21547.505376344085</v>
      </c>
      <c r="J15" s="17">
        <f t="shared" si="0"/>
        <v>12406.480004007211</v>
      </c>
      <c r="K15" s="18">
        <f>SUM(K8:K14)</f>
        <v>32442.73651600592</v>
      </c>
      <c r="L15" s="18">
        <f>SUM(L8:L14)</f>
        <v>22296.574232320829</v>
      </c>
      <c r="M15" s="18">
        <f>SUM(M8:M14)</f>
        <v>37795.413978494624</v>
      </c>
      <c r="N15" s="18">
        <f>SUM(N8:N14)</f>
        <v>19526.582248046485</v>
      </c>
    </row>
    <row r="16" spans="1:14" ht="15.95" customHeight="1" x14ac:dyDescent="0.25">
      <c r="A16" s="35" t="s">
        <v>43</v>
      </c>
      <c r="B16" s="36"/>
      <c r="C16" s="17">
        <f>C15/7</f>
        <v>217.07255700126942</v>
      </c>
      <c r="D16" s="17">
        <f>D15/7</f>
        <v>169.89982630888204</v>
      </c>
      <c r="E16" s="17">
        <f>E15/5</f>
        <v>307.05806451612904</v>
      </c>
      <c r="F16" s="17">
        <f>F15/4</f>
        <v>203.67536816269285</v>
      </c>
      <c r="G16" s="17">
        <f>G15/7</f>
        <v>3164.7409235344853</v>
      </c>
      <c r="H16" s="17">
        <f>H15/7</f>
        <v>2518.5907799372972</v>
      </c>
      <c r="I16" s="17">
        <f>I15/5</f>
        <v>4309.5010752688167</v>
      </c>
      <c r="J16" s="17">
        <f>J15/4</f>
        <v>3101.6200010018028</v>
      </c>
      <c r="K16" s="18">
        <f>K15/7</f>
        <v>4634.6766451437024</v>
      </c>
      <c r="L16" s="18">
        <f>L15/7</f>
        <v>3185.2248903315472</v>
      </c>
      <c r="M16" s="18">
        <f>M15/5</f>
        <v>7559.0827956989251</v>
      </c>
      <c r="N16" s="18">
        <f>N15/4</f>
        <v>4881.6455620116212</v>
      </c>
    </row>
    <row r="17" spans="1:14" ht="15.95" customHeight="1" x14ac:dyDescent="0.25">
      <c r="A17" s="47" t="s">
        <v>21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9"/>
    </row>
    <row r="18" spans="1:14" ht="15.95" customHeight="1" x14ac:dyDescent="0.25">
      <c r="A18" s="2" t="s">
        <v>6</v>
      </c>
      <c r="B18" s="3" t="s">
        <v>22</v>
      </c>
      <c r="C18" s="13">
        <f>5762/41</f>
        <v>140.53658536585365</v>
      </c>
      <c r="D18" s="13">
        <f>2150/15</f>
        <v>143.33333333333334</v>
      </c>
      <c r="E18" s="13">
        <f>289/2</f>
        <v>144.5</v>
      </c>
      <c r="F18" s="13">
        <f>3323/24</f>
        <v>138.45833333333334</v>
      </c>
      <c r="G18" s="13">
        <f>75265/41</f>
        <v>1835.7317073170732</v>
      </c>
      <c r="H18" s="13">
        <f>21416/15</f>
        <v>1427.7333333333333</v>
      </c>
      <c r="I18" s="13">
        <f>5927/2</f>
        <v>2963.5</v>
      </c>
      <c r="J18" s="13">
        <f>47922/24</f>
        <v>1996.75</v>
      </c>
      <c r="K18" s="15">
        <f>127466/41</f>
        <v>3108.9268292682927</v>
      </c>
      <c r="L18" s="15">
        <f>33461/15</f>
        <v>2230.7333333333331</v>
      </c>
      <c r="M18" s="15">
        <f>7143/2</f>
        <v>3571.5</v>
      </c>
      <c r="N18" s="15">
        <f>86862/24</f>
        <v>3619.25</v>
      </c>
    </row>
    <row r="19" spans="1:14" ht="15.95" customHeight="1" x14ac:dyDescent="0.25">
      <c r="A19" s="2" t="s">
        <v>8</v>
      </c>
      <c r="B19" s="3" t="s">
        <v>23</v>
      </c>
      <c r="C19" s="13">
        <f>1566/15</f>
        <v>104.4</v>
      </c>
      <c r="D19" s="13">
        <f>554/7</f>
        <v>79.142857142857139</v>
      </c>
      <c r="E19" s="13" t="s">
        <v>42</v>
      </c>
      <c r="F19" s="13">
        <f>1012/8</f>
        <v>126.5</v>
      </c>
      <c r="G19" s="13">
        <f>32847/15</f>
        <v>2189.8000000000002</v>
      </c>
      <c r="H19" s="13">
        <f>19642/7</f>
        <v>2806</v>
      </c>
      <c r="I19" s="13" t="s">
        <v>42</v>
      </c>
      <c r="J19" s="13">
        <f>13205/8</f>
        <v>1650.625</v>
      </c>
      <c r="K19" s="15">
        <f>34473/15</f>
        <v>2298.1999999999998</v>
      </c>
      <c r="L19" s="15">
        <f>8081/7</f>
        <v>1154.4285714285713</v>
      </c>
      <c r="M19" s="15" t="s">
        <v>42</v>
      </c>
      <c r="N19" s="15">
        <f>26392/8</f>
        <v>3299</v>
      </c>
    </row>
    <row r="20" spans="1:14" ht="15.95" customHeight="1" x14ac:dyDescent="0.25">
      <c r="A20" s="2" t="s">
        <v>10</v>
      </c>
      <c r="B20" s="3" t="s">
        <v>24</v>
      </c>
      <c r="C20" s="29">
        <f>4754/37</f>
        <v>128.48648648648648</v>
      </c>
      <c r="D20" s="13">
        <f>1498/14</f>
        <v>107</v>
      </c>
      <c r="E20" s="13" t="s">
        <v>42</v>
      </c>
      <c r="F20" s="13">
        <f>3256/23</f>
        <v>141.56521739130434</v>
      </c>
      <c r="G20" s="13">
        <f>73715/37</f>
        <v>1992.2972972972973</v>
      </c>
      <c r="H20" s="13">
        <f>37424/14</f>
        <v>2673.1428571428573</v>
      </c>
      <c r="I20" s="13" t="s">
        <v>42</v>
      </c>
      <c r="J20" s="13">
        <f>36291/23</f>
        <v>1577.8695652173913</v>
      </c>
      <c r="K20" s="15">
        <f>95922/37</f>
        <v>2592.4864864864867</v>
      </c>
      <c r="L20" s="15">
        <f>30843/14</f>
        <v>2203.0714285714284</v>
      </c>
      <c r="M20" s="15" t="s">
        <v>42</v>
      </c>
      <c r="N20" s="15">
        <f>65079/23</f>
        <v>2829.521739130435</v>
      </c>
    </row>
    <row r="21" spans="1:14" ht="15.95" customHeight="1" x14ac:dyDescent="0.25">
      <c r="A21" s="2" t="s">
        <v>12</v>
      </c>
      <c r="B21" s="3" t="s">
        <v>25</v>
      </c>
      <c r="C21" s="13">
        <f>8891/52</f>
        <v>170.98076923076923</v>
      </c>
      <c r="D21" s="13">
        <f>3300/24</f>
        <v>137.5</v>
      </c>
      <c r="E21" s="13">
        <f>959/4</f>
        <v>239.75</v>
      </c>
      <c r="F21" s="13">
        <f>4632/24</f>
        <v>193</v>
      </c>
      <c r="G21" s="13">
        <f>92314/52</f>
        <v>1775.2692307692307</v>
      </c>
      <c r="H21" s="13">
        <f>38813/24</f>
        <v>1617.2083333333333</v>
      </c>
      <c r="I21" s="13">
        <f>7734/4</f>
        <v>1933.5</v>
      </c>
      <c r="J21" s="13">
        <f>45767/24</f>
        <v>1906.9583333333333</v>
      </c>
      <c r="K21" s="15">
        <f>145021/52</f>
        <v>2788.8653846153848</v>
      </c>
      <c r="L21" s="15">
        <f>62691/24</f>
        <v>2612.125</v>
      </c>
      <c r="M21" s="15">
        <f>8985/4</f>
        <v>2246.25</v>
      </c>
      <c r="N21" s="15">
        <f>73345/24</f>
        <v>3056.0416666666665</v>
      </c>
    </row>
    <row r="22" spans="1:14" ht="15.95" customHeight="1" x14ac:dyDescent="0.25">
      <c r="A22" s="62" t="s">
        <v>20</v>
      </c>
      <c r="B22" s="62"/>
      <c r="C22" s="17">
        <f t="shared" ref="C22:J22" si="1">SUM(C18:C21)</f>
        <v>544.40384108310946</v>
      </c>
      <c r="D22" s="17">
        <f t="shared" si="1"/>
        <v>466.97619047619048</v>
      </c>
      <c r="E22" s="17">
        <f t="shared" si="1"/>
        <v>384.25</v>
      </c>
      <c r="F22" s="17">
        <f t="shared" si="1"/>
        <v>599.52355072463774</v>
      </c>
      <c r="G22" s="17">
        <f t="shared" si="1"/>
        <v>7793.0982353836016</v>
      </c>
      <c r="H22" s="17">
        <f t="shared" si="1"/>
        <v>8524.0845238095244</v>
      </c>
      <c r="I22" s="17">
        <f t="shared" si="1"/>
        <v>4897</v>
      </c>
      <c r="J22" s="17">
        <f t="shared" si="1"/>
        <v>7132.2028985507241</v>
      </c>
      <c r="K22" s="18">
        <f>SUM(K18:K21)</f>
        <v>10788.478700370164</v>
      </c>
      <c r="L22" s="18">
        <f>SUM(L18:L21)</f>
        <v>8200.3583333333336</v>
      </c>
      <c r="M22" s="18">
        <f>SUM(M18:M21)</f>
        <v>5817.75</v>
      </c>
      <c r="N22" s="18">
        <f>SUM(N18:N21)</f>
        <v>12803.813405797102</v>
      </c>
    </row>
    <row r="23" spans="1:14" ht="15.95" customHeight="1" x14ac:dyDescent="0.25">
      <c r="A23" s="35" t="s">
        <v>43</v>
      </c>
      <c r="B23" s="36"/>
      <c r="C23" s="17">
        <f>C22/4</f>
        <v>136.10096027077736</v>
      </c>
      <c r="D23" s="17">
        <f>D22/4</f>
        <v>116.74404761904762</v>
      </c>
      <c r="E23" s="17">
        <f>E22/2</f>
        <v>192.125</v>
      </c>
      <c r="F23" s="17">
        <f>F22/4</f>
        <v>149.88088768115944</v>
      </c>
      <c r="G23" s="17">
        <f>G22/4</f>
        <v>1948.2745588459004</v>
      </c>
      <c r="H23" s="17">
        <f>H22/4</f>
        <v>2131.0211309523811</v>
      </c>
      <c r="I23" s="17">
        <f>I22/2</f>
        <v>2448.5</v>
      </c>
      <c r="J23" s="17">
        <f>J22/4</f>
        <v>1783.050724637681</v>
      </c>
      <c r="K23" s="18">
        <f>K22/4</f>
        <v>2697.119675092541</v>
      </c>
      <c r="L23" s="18">
        <f>L22/4</f>
        <v>2050.0895833333334</v>
      </c>
      <c r="M23" s="18">
        <f>M22/2</f>
        <v>2908.875</v>
      </c>
      <c r="N23" s="18">
        <f>N22/4</f>
        <v>3200.9533514492755</v>
      </c>
    </row>
    <row r="24" spans="1:14" ht="28.5" customHeight="1" x14ac:dyDescent="0.25">
      <c r="A24" s="57" t="s">
        <v>26</v>
      </c>
      <c r="B24" s="57"/>
      <c r="C24" s="21">
        <f t="shared" ref="C24:J24" si="2">SUM(C15,C22)</f>
        <v>2063.9117400919954</v>
      </c>
      <c r="D24" s="21">
        <f t="shared" si="2"/>
        <v>1656.2749746383647</v>
      </c>
      <c r="E24" s="21">
        <f t="shared" si="2"/>
        <v>1919.5403225806451</v>
      </c>
      <c r="F24" s="21">
        <f t="shared" si="2"/>
        <v>1414.2250233754091</v>
      </c>
      <c r="G24" s="21">
        <f t="shared" si="2"/>
        <v>29946.284700124997</v>
      </c>
      <c r="H24" s="21">
        <f t="shared" si="2"/>
        <v>26154.219983370604</v>
      </c>
      <c r="I24" s="21">
        <f t="shared" si="2"/>
        <v>26444.505376344085</v>
      </c>
      <c r="J24" s="21">
        <f t="shared" si="2"/>
        <v>19538.682902557935</v>
      </c>
      <c r="K24" s="25">
        <f>SUM(K15,K22)</f>
        <v>43231.215216376084</v>
      </c>
      <c r="L24" s="25">
        <f>SUM(L15,L22)</f>
        <v>30496.932565654162</v>
      </c>
      <c r="M24" s="25">
        <f>SUM(M15,M22)</f>
        <v>43613.163978494624</v>
      </c>
      <c r="N24" s="25">
        <f>SUM(N15,N22)</f>
        <v>32330.395653843589</v>
      </c>
    </row>
    <row r="25" spans="1:14" ht="30" customHeight="1" x14ac:dyDescent="0.25">
      <c r="A25" s="57" t="s">
        <v>27</v>
      </c>
      <c r="B25" s="57"/>
      <c r="C25" s="21">
        <f>C24/11</f>
        <v>187.62834000836321</v>
      </c>
      <c r="D25" s="21">
        <f>D24/11</f>
        <v>150.57045223985133</v>
      </c>
      <c r="E25" s="21">
        <f>E24/7</f>
        <v>274.2200460829493</v>
      </c>
      <c r="F25" s="21">
        <f>F24/8</f>
        <v>176.77812792192614</v>
      </c>
      <c r="G25" s="21">
        <f>G24/11</f>
        <v>2722.3895181931816</v>
      </c>
      <c r="H25" s="21">
        <f>H24/11</f>
        <v>2377.6563621246005</v>
      </c>
      <c r="I25" s="21">
        <f>I24/7</f>
        <v>3777.7864823348691</v>
      </c>
      <c r="J25" s="21">
        <f>J24/8</f>
        <v>2442.3353628197419</v>
      </c>
      <c r="K25" s="25">
        <f>K24/11</f>
        <v>3930.1104742160078</v>
      </c>
      <c r="L25" s="25">
        <f>L24/11</f>
        <v>2772.4484150594694</v>
      </c>
      <c r="M25" s="25">
        <f>M24/7</f>
        <v>6230.4519969278035</v>
      </c>
      <c r="N25" s="25">
        <f>N24/8</f>
        <v>4041.2994567304486</v>
      </c>
    </row>
    <row r="27" spans="1:14" ht="15" customHeight="1" x14ac:dyDescent="0.25">
      <c r="C27" s="10"/>
    </row>
  </sheetData>
  <mergeCells count="14">
    <mergeCell ref="A2:N2"/>
    <mergeCell ref="A25:B25"/>
    <mergeCell ref="C4:F5"/>
    <mergeCell ref="G4:J5"/>
    <mergeCell ref="K4:N5"/>
    <mergeCell ref="A7:N7"/>
    <mergeCell ref="A15:B15"/>
    <mergeCell ref="A17:N17"/>
    <mergeCell ref="A22:B22"/>
    <mergeCell ref="A24:B24"/>
    <mergeCell ref="A4:A6"/>
    <mergeCell ref="B4:B6"/>
    <mergeCell ref="A23:B23"/>
    <mergeCell ref="A16:B16"/>
  </mergeCells>
  <pageMargins left="0.70000000000000007" right="0.70000000000000007" top="0.75" bottom="0.75" header="0.30000000000000004" footer="0.30000000000000004"/>
  <pageSetup orientation="portrait" r:id="rId1"/>
  <ignoredErrors>
    <ignoredError sqref="E23 I23 M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4.1. Personalas</vt:lpstr>
      <vt:lpstr>4.2. Išsilavinimas</vt:lpstr>
      <vt:lpstr>4.3. Veiklos efektyvumas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Živilė Levokaitė</dc:creator>
  <cp:lastModifiedBy>Živilė Levokaitė</cp:lastModifiedBy>
  <dcterms:created xsi:type="dcterms:W3CDTF">2020-05-06T11:13:30Z</dcterms:created>
  <dcterms:modified xsi:type="dcterms:W3CDTF">2021-06-08T07:38:16Z</dcterms:modified>
</cp:coreProperties>
</file>