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ivile\Desktop\REGIONO ataskaita\2021\"/>
    </mc:Choice>
  </mc:AlternateContent>
  <bookViews>
    <workbookView xWindow="0" yWindow="0" windowWidth="28800" windowHeight="11700" activeTab="2"/>
  </bookViews>
  <sheets>
    <sheet name="4.1. Personalas" sheetId="1" r:id="rId1"/>
    <sheet name="4.2. Išsilavinimas" sheetId="2" r:id="rId2"/>
    <sheet name="4.3. Veiklos efektyvumas" sheetId="3" r:id="rId3"/>
  </sheets>
  <calcPr calcId="162913"/>
</workbook>
</file>

<file path=xl/calcChain.xml><?xml version="1.0" encoding="utf-8"?>
<calcChain xmlns="http://schemas.openxmlformats.org/spreadsheetml/2006/main">
  <c r="F21" i="3" l="1"/>
  <c r="N21" i="3"/>
  <c r="J21" i="3"/>
  <c r="M21" i="3"/>
  <c r="I21" i="3"/>
  <c r="E21" i="3"/>
  <c r="L21" i="3"/>
  <c r="H21" i="3"/>
  <c r="D21" i="3"/>
  <c r="K21" i="3"/>
  <c r="G21" i="3"/>
  <c r="C21" i="3"/>
  <c r="N20" i="3"/>
  <c r="J20" i="3"/>
  <c r="F20" i="3"/>
  <c r="L20" i="3"/>
  <c r="H20" i="3"/>
  <c r="D20" i="3"/>
  <c r="K20" i="3"/>
  <c r="G20" i="3"/>
  <c r="C20" i="3"/>
  <c r="N19" i="3"/>
  <c r="J19" i="3"/>
  <c r="F19" i="3"/>
  <c r="L19" i="3"/>
  <c r="H19" i="3"/>
  <c r="D19" i="3"/>
  <c r="K19" i="3"/>
  <c r="G19" i="3"/>
  <c r="C19" i="3"/>
  <c r="N18" i="3"/>
  <c r="J18" i="3"/>
  <c r="F18" i="3"/>
  <c r="M18" i="3"/>
  <c r="I18" i="3"/>
  <c r="E18" i="3"/>
  <c r="L18" i="3"/>
  <c r="H18" i="3"/>
  <c r="D18" i="3"/>
  <c r="K18" i="3"/>
  <c r="G18" i="3"/>
  <c r="C18" i="3"/>
  <c r="N14" i="3"/>
  <c r="J14" i="3"/>
  <c r="F14" i="3"/>
  <c r="L14" i="3"/>
  <c r="H14" i="3"/>
  <c r="K14" i="3"/>
  <c r="D14" i="3"/>
  <c r="G14" i="3"/>
  <c r="C14" i="3"/>
  <c r="N13" i="3"/>
  <c r="J13" i="3"/>
  <c r="F13" i="3"/>
  <c r="M13" i="3"/>
  <c r="I13" i="3"/>
  <c r="E13" i="3"/>
  <c r="L13" i="3"/>
  <c r="H13" i="3"/>
  <c r="D13" i="3"/>
  <c r="K13" i="3"/>
  <c r="G13" i="3"/>
  <c r="C13" i="3"/>
  <c r="L12" i="3"/>
  <c r="H12" i="3"/>
  <c r="D12" i="3"/>
  <c r="K12" i="3"/>
  <c r="G12" i="3"/>
  <c r="C12" i="3"/>
  <c r="M11" i="3" l="1"/>
  <c r="I11" i="3"/>
  <c r="E11" i="3"/>
  <c r="L11" i="3"/>
  <c r="H11" i="3"/>
  <c r="G11" i="3"/>
  <c r="D11" i="3"/>
  <c r="K11" i="3"/>
  <c r="C11" i="3"/>
  <c r="N10" i="3"/>
  <c r="J10" i="3"/>
  <c r="F10" i="3"/>
  <c r="M10" i="3"/>
  <c r="I10" i="3"/>
  <c r="E10" i="3"/>
  <c r="L10" i="3"/>
  <c r="H10" i="3"/>
  <c r="D10" i="3"/>
  <c r="K10" i="3"/>
  <c r="G10" i="3"/>
  <c r="C10" i="3"/>
  <c r="N9" i="3"/>
  <c r="J9" i="3"/>
  <c r="F9" i="3"/>
  <c r="M9" i="3"/>
  <c r="I9" i="3"/>
  <c r="E9" i="3"/>
  <c r="H9" i="3"/>
  <c r="L9" i="3"/>
  <c r="K9" i="3"/>
  <c r="D9" i="3"/>
  <c r="G9" i="3"/>
  <c r="C9" i="3"/>
  <c r="M8" i="3"/>
  <c r="I8" i="3"/>
  <c r="L8" i="3"/>
  <c r="H8" i="3"/>
  <c r="H15" i="3" s="1"/>
  <c r="K8" i="3"/>
  <c r="G8" i="3"/>
  <c r="E8" i="3"/>
  <c r="D8" i="3"/>
  <c r="C8" i="3"/>
  <c r="Q8" i="2" l="1"/>
  <c r="M8" i="2"/>
  <c r="I8" i="2"/>
  <c r="E8" i="2"/>
  <c r="K8" i="1" l="1"/>
  <c r="F8" i="1"/>
  <c r="O23" i="1" l="1"/>
  <c r="K23" i="1"/>
  <c r="F23" i="1"/>
  <c r="N15" i="3" l="1"/>
  <c r="N16" i="3" s="1"/>
  <c r="N22" i="3"/>
  <c r="N23" i="3" s="1"/>
  <c r="M22" i="3"/>
  <c r="M23" i="3" s="1"/>
  <c r="M15" i="3"/>
  <c r="L15" i="3"/>
  <c r="L16" i="3" s="1"/>
  <c r="L22" i="3"/>
  <c r="L23" i="3" s="1"/>
  <c r="N24" i="3" l="1"/>
  <c r="N25" i="3" s="1"/>
  <c r="M24" i="3"/>
  <c r="M25" i="3" s="1"/>
  <c r="M16" i="3"/>
  <c r="L24" i="3"/>
  <c r="L25" i="3" s="1"/>
  <c r="K22" i="3" l="1"/>
  <c r="K23" i="3" s="1"/>
  <c r="K15" i="3"/>
  <c r="K24" i="3" s="1"/>
  <c r="K25" i="3" s="1"/>
  <c r="J22" i="3"/>
  <c r="J23" i="3" s="1"/>
  <c r="J15" i="3"/>
  <c r="J16" i="3" s="1"/>
  <c r="I15" i="3"/>
  <c r="I16" i="3" s="1"/>
  <c r="I22" i="3"/>
  <c r="I23" i="3" s="1"/>
  <c r="H16" i="3"/>
  <c r="H22" i="3"/>
  <c r="H23" i="3" s="1"/>
  <c r="G15" i="3"/>
  <c r="G22" i="3"/>
  <c r="G23" i="3" s="1"/>
  <c r="F22" i="3"/>
  <c r="F23" i="3" s="1"/>
  <c r="F15" i="3"/>
  <c r="F16" i="3" s="1"/>
  <c r="E15" i="3"/>
  <c r="E16" i="3" s="1"/>
  <c r="E22" i="3"/>
  <c r="E23" i="3" s="1"/>
  <c r="D22" i="3"/>
  <c r="D23" i="3" s="1"/>
  <c r="D15" i="3"/>
  <c r="D16" i="3" s="1"/>
  <c r="C22" i="3"/>
  <c r="C23" i="3" s="1"/>
  <c r="C15" i="3"/>
  <c r="C16" i="3" s="1"/>
  <c r="K16" i="3" l="1"/>
  <c r="I24" i="3"/>
  <c r="I25" i="3" s="1"/>
  <c r="H24" i="3"/>
  <c r="H25" i="3" s="1"/>
  <c r="J24" i="3"/>
  <c r="J25" i="3" s="1"/>
  <c r="D24" i="3"/>
  <c r="D25" i="3" s="1"/>
  <c r="E24" i="3"/>
  <c r="E25" i="3" s="1"/>
  <c r="F24" i="3"/>
  <c r="F25" i="3" s="1"/>
  <c r="G24" i="3"/>
  <c r="G25" i="3" s="1"/>
  <c r="G16" i="3"/>
  <c r="C24" i="3"/>
  <c r="C25" i="3" s="1"/>
  <c r="L23" i="2"/>
  <c r="T21" i="2"/>
  <c r="P21" i="2"/>
  <c r="L21" i="2"/>
  <c r="H21" i="2"/>
  <c r="D21" i="2"/>
  <c r="T15" i="2"/>
  <c r="P15" i="2"/>
  <c r="L15" i="2"/>
  <c r="H15" i="2"/>
  <c r="D15" i="2"/>
  <c r="N22" i="1"/>
  <c r="N23" i="1" s="1"/>
  <c r="N15" i="1"/>
  <c r="N16" i="1" s="1"/>
  <c r="J15" i="1"/>
  <c r="J16" i="1" s="1"/>
  <c r="J22" i="1"/>
  <c r="J23" i="1" s="1"/>
  <c r="H22" i="1"/>
  <c r="H23" i="1" s="1"/>
  <c r="E22" i="1"/>
  <c r="E23" i="1" s="1"/>
  <c r="E15" i="1"/>
  <c r="E16" i="1" s="1"/>
  <c r="V21" i="2"/>
  <c r="U21" i="2"/>
  <c r="R21" i="2"/>
  <c r="Q21" i="2"/>
  <c r="N21" i="2"/>
  <c r="M21" i="2"/>
  <c r="J21" i="2"/>
  <c r="I21" i="2"/>
  <c r="F21" i="2"/>
  <c r="E21" i="2"/>
  <c r="V15" i="2"/>
  <c r="V22" i="2" s="1"/>
  <c r="V23" i="2" s="1"/>
  <c r="U15" i="2"/>
  <c r="R15" i="2"/>
  <c r="Q15" i="2"/>
  <c r="N15" i="2"/>
  <c r="M15" i="2"/>
  <c r="M22" i="2" s="1"/>
  <c r="M23" i="2" s="1"/>
  <c r="J15" i="2"/>
  <c r="I15" i="2"/>
  <c r="F15" i="2"/>
  <c r="E15" i="2"/>
  <c r="E22" i="2" s="1"/>
  <c r="E23" i="2" s="1"/>
  <c r="P22" i="1"/>
  <c r="P23" i="1" s="1"/>
  <c r="P15" i="1"/>
  <c r="P16" i="1" s="1"/>
  <c r="O22" i="1"/>
  <c r="O15" i="1"/>
  <c r="O16" i="1" s="1"/>
  <c r="L22" i="1"/>
  <c r="L23" i="1" s="1"/>
  <c r="L15" i="1"/>
  <c r="L16" i="1" s="1"/>
  <c r="K22" i="1"/>
  <c r="K15" i="1"/>
  <c r="G22" i="1"/>
  <c r="G23" i="1" s="1"/>
  <c r="G15" i="1"/>
  <c r="G16" i="1" s="1"/>
  <c r="F22" i="1"/>
  <c r="F15" i="1"/>
  <c r="U22" i="2" l="1"/>
  <c r="U23" i="2" s="1"/>
  <c r="H22" i="2"/>
  <c r="H23" i="2" s="1"/>
  <c r="J22" i="2"/>
  <c r="J23" i="2" s="1"/>
  <c r="R22" i="2"/>
  <c r="R23" i="2" s="1"/>
  <c r="N22" i="2"/>
  <c r="N23" i="2" s="1"/>
  <c r="F22" i="2"/>
  <c r="F23" i="2" s="1"/>
  <c r="L24" i="1"/>
  <c r="L25" i="1" s="1"/>
  <c r="G24" i="1"/>
  <c r="G25" i="1" s="1"/>
  <c r="P24" i="1"/>
  <c r="P25" i="1" s="1"/>
  <c r="O24" i="1"/>
  <c r="O25" i="1" s="1"/>
  <c r="K24" i="1"/>
  <c r="K25" i="1" s="1"/>
  <c r="K16" i="1"/>
  <c r="F24" i="1"/>
  <c r="F25" i="1" s="1"/>
  <c r="F16" i="1"/>
  <c r="T22" i="2"/>
  <c r="T23" i="2" s="1"/>
  <c r="L22" i="2"/>
  <c r="D22" i="2"/>
  <c r="D23" i="2" s="1"/>
  <c r="N24" i="1"/>
  <c r="N25" i="1" s="1"/>
  <c r="P22" i="2"/>
  <c r="P23" i="2" s="1"/>
  <c r="J24" i="1"/>
  <c r="J25" i="1" s="1"/>
  <c r="E24" i="1"/>
  <c r="E25" i="1" s="1"/>
  <c r="I22" i="2"/>
  <c r="I23" i="2" s="1"/>
  <c r="Q22" i="2"/>
  <c r="Q23" i="2" s="1"/>
  <c r="S21" i="2"/>
  <c r="O21" i="2"/>
  <c r="K21" i="2"/>
  <c r="G21" i="2"/>
  <c r="C21" i="2"/>
  <c r="S15" i="2"/>
  <c r="O15" i="2"/>
  <c r="K15" i="2"/>
  <c r="G15" i="2"/>
  <c r="C15" i="2"/>
  <c r="M22" i="1"/>
  <c r="M23" i="1" s="1"/>
  <c r="I22" i="1"/>
  <c r="I23" i="1" s="1"/>
  <c r="M15" i="1"/>
  <c r="M16" i="1" s="1"/>
  <c r="I15" i="1"/>
  <c r="I16" i="1" s="1"/>
  <c r="H15" i="1"/>
  <c r="H16" i="1" s="1"/>
  <c r="D22" i="1"/>
  <c r="D23" i="1" s="1"/>
  <c r="D15" i="1"/>
  <c r="C15" i="1"/>
  <c r="C16" i="1" s="1"/>
  <c r="C22" i="1"/>
  <c r="C23" i="1" s="1"/>
  <c r="G22" i="2" l="1"/>
  <c r="G23" i="2" s="1"/>
  <c r="S22" i="2"/>
  <c r="S23" i="2" s="1"/>
  <c r="O22" i="2"/>
  <c r="O23" i="2" s="1"/>
  <c r="K22" i="2"/>
  <c r="K23" i="2" s="1"/>
  <c r="C22" i="2"/>
  <c r="C23" i="2" s="1"/>
  <c r="M24" i="1"/>
  <c r="M25" i="1" s="1"/>
  <c r="C24" i="1"/>
  <c r="C25" i="1" s="1"/>
  <c r="I24" i="1"/>
  <c r="I25" i="1" s="1"/>
  <c r="H24" i="1"/>
  <c r="H25" i="1" s="1"/>
  <c r="D16" i="1"/>
  <c r="D24" i="1"/>
  <c r="D25" i="1" s="1"/>
</calcChain>
</file>

<file path=xl/sharedStrings.xml><?xml version="1.0" encoding="utf-8"?>
<sst xmlns="http://schemas.openxmlformats.org/spreadsheetml/2006/main" count="235" uniqueCount="47">
  <si>
    <t>Eil. Nr.</t>
  </si>
  <si>
    <t>Savivaldybių viešosios bibliotekos</t>
  </si>
  <si>
    <t>VB</t>
  </si>
  <si>
    <t>Miesto fil.</t>
  </si>
  <si>
    <t>Kaimo fil.</t>
  </si>
  <si>
    <t>I. Klaipėdos apskritis</t>
  </si>
  <si>
    <t>1.</t>
  </si>
  <si>
    <t>Klaipėdos m.</t>
  </si>
  <si>
    <t>2.</t>
  </si>
  <si>
    <t>Klaipėdos r.</t>
  </si>
  <si>
    <t>3.</t>
  </si>
  <si>
    <t>Kretingos r.</t>
  </si>
  <si>
    <t>4.</t>
  </si>
  <si>
    <t>Neringos m.</t>
  </si>
  <si>
    <t>5.</t>
  </si>
  <si>
    <t>Palangos m.</t>
  </si>
  <si>
    <t>6.</t>
  </si>
  <si>
    <t>Skuodo r.</t>
  </si>
  <si>
    <t>7.</t>
  </si>
  <si>
    <t>Šilutės r.</t>
  </si>
  <si>
    <t>Iš viso:</t>
  </si>
  <si>
    <t>II. Tauragės apskritis</t>
  </si>
  <si>
    <t>Jurbarko r.</t>
  </si>
  <si>
    <t>Pagėgių sav.</t>
  </si>
  <si>
    <t>Šilalės r.</t>
  </si>
  <si>
    <t>Tauragės r.</t>
  </si>
  <si>
    <t>Iš viso Klaipėdos ir Tauragės apskrityse:</t>
  </si>
  <si>
    <t>Vidutiniškai vienoje bibliotekoje Klaipėdos ir Tauragės apskrityse:</t>
  </si>
  <si>
    <t>Etatų skaičius SVB</t>
  </si>
  <si>
    <t>Iš viso SVB</t>
  </si>
  <si>
    <t>Darbuotojų skaičius</t>
  </si>
  <si>
    <t>Iš jų: profesionalių bibliotekininkų</t>
  </si>
  <si>
    <t>Iš viso</t>
  </si>
  <si>
    <t xml:space="preserve">Profesionalių bibliotekininkų, </t>
  </si>
  <si>
    <t>dirbančių ne visą darbo dieną skaičius</t>
  </si>
  <si>
    <t>Aukštasis</t>
  </si>
  <si>
    <t>Iš jų: bibliotekinis</t>
  </si>
  <si>
    <t>Aukštesnysis</t>
  </si>
  <si>
    <t>Kitas</t>
  </si>
  <si>
    <t>Vartotojų skaičius vienam bibliotekininkui</t>
  </si>
  <si>
    <t>Lankytojų skaičius vienam bibliotekininkui</t>
  </si>
  <si>
    <t>Dokumentų išduotis vienam bibliotekininkui (fiz. vnt.)</t>
  </si>
  <si>
    <t>x</t>
  </si>
  <si>
    <t>Vidutiniškai vienoje bibliotekoje:</t>
  </si>
  <si>
    <t>4.1. KLAIPĖDOS IR TAURAGĖS APSKRIČIŲ SAVIVALDYBIŲ VIEŠŲJŲ BIBLIOTEKŲ PERSONALAS 2021 M.</t>
  </si>
  <si>
    <t>4.2. KLAIPĖDOS IR TAURAGĖS APSKRIČIŲ SAVIVALDYBIŲ BIBLIOTEKININKŲ IŠSILAVINIMAS IR KVALIFIKACIJA 2021 M.</t>
  </si>
  <si>
    <t>4.3. KLAIPĖDOS IR TAURAGĖS APSKRIČIŲ SAVIVALDYBIŲ VIEŠŲJŲ BIBLIOTEKŲ DARBUOTOJŲ VEIKLOS EFEKTYVUMAS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</si>
</sst>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2"/>
      <name val="Calibri"/>
      <family val="2"/>
      <charset val="186"/>
    </font>
    <font>
      <b/>
      <sz val="12"/>
      <name val="Calibri"/>
      <family val="2"/>
      <charset val="186"/>
    </font>
    <font>
      <sz val="1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rgb="FFD6E3B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0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left" vertical="center" wrapText="1"/>
    </xf>
    <xf numFmtId="2" fontId="5" fillId="5" borderId="1" xfId="1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5" borderId="1" xfId="0" applyFont="1" applyFill="1" applyBorder="1" applyAlignment="1">
      <alignment horizontal="center" vertical="center"/>
    </xf>
    <xf numFmtId="2" fontId="5" fillId="6" borderId="1" xfId="1" applyNumberFormat="1" applyFont="1" applyFill="1" applyBorder="1" applyAlignment="1">
      <alignment horizontal="right" vertical="center"/>
    </xf>
    <xf numFmtId="2" fontId="6" fillId="7" borderId="1" xfId="1" applyNumberFormat="1" applyFont="1" applyFill="1" applyBorder="1" applyAlignment="1">
      <alignment horizontal="right" vertical="center" wrapText="1"/>
    </xf>
    <xf numFmtId="2" fontId="4" fillId="4" borderId="2" xfId="0" applyNumberFormat="1" applyFont="1" applyFill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right" vertical="center"/>
    </xf>
    <xf numFmtId="0" fontId="5" fillId="6" borderId="4" xfId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right" vertical="center" wrapText="1"/>
    </xf>
    <xf numFmtId="0" fontId="6" fillId="7" borderId="2" xfId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</cellXfs>
  <cellStyles count="3">
    <cellStyle name="20% – paryškinimas 4" xfId="1" builtinId="42"/>
    <cellStyle name="Įprastas" xfId="0" builtinId="0" customBuiltin="1"/>
    <cellStyle name="Įprasta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26</xdr:row>
      <xdr:rowOff>9526</xdr:rowOff>
    </xdr:from>
    <xdr:to>
      <xdr:col>6</xdr:col>
      <xdr:colOff>276225</xdr:colOff>
      <xdr:row>43</xdr:row>
      <xdr:rowOff>12216</xdr:rowOff>
    </xdr:to>
    <xdr:pic>
      <xdr:nvPicPr>
        <xdr:cNvPr id="2" name="Paveikslėlis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68" r="9678"/>
        <a:stretch/>
      </xdr:blipFill>
      <xdr:spPr>
        <a:xfrm>
          <a:off x="85725" y="5848351"/>
          <a:ext cx="4457700" cy="3241190"/>
        </a:xfrm>
        <a:prstGeom prst="rect">
          <a:avLst/>
        </a:prstGeom>
      </xdr:spPr>
    </xdr:pic>
    <xdr:clientData/>
  </xdr:twoCellAnchor>
  <xdr:twoCellAnchor editAs="oneCell">
    <xdr:from>
      <xdr:col>7</xdr:col>
      <xdr:colOff>5449</xdr:colOff>
      <xdr:row>25</xdr:row>
      <xdr:rowOff>190499</xdr:rowOff>
    </xdr:from>
    <xdr:to>
      <xdr:col>15</xdr:col>
      <xdr:colOff>204490</xdr:colOff>
      <xdr:row>43</xdr:row>
      <xdr:rowOff>9524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8899" y="5838824"/>
          <a:ext cx="4456716" cy="324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24</xdr:row>
      <xdr:rowOff>28575</xdr:rowOff>
    </xdr:from>
    <xdr:to>
      <xdr:col>6</xdr:col>
      <xdr:colOff>345276</xdr:colOff>
      <xdr:row>43</xdr:row>
      <xdr:rowOff>0</xdr:rowOff>
    </xdr:to>
    <xdr:pic>
      <xdr:nvPicPr>
        <xdr:cNvPr id="2" name="Paveikslėlis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26" r="7118"/>
        <a:stretch/>
      </xdr:blipFill>
      <xdr:spPr>
        <a:xfrm>
          <a:off x="85725" y="5495925"/>
          <a:ext cx="4355301" cy="3590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77689</xdr:colOff>
      <xdr:row>26</xdr:row>
      <xdr:rowOff>9526</xdr:rowOff>
    </xdr:from>
    <xdr:to>
      <xdr:col>8</xdr:col>
      <xdr:colOff>319332</xdr:colOff>
      <xdr:row>47</xdr:row>
      <xdr:rowOff>9526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89" y="5724526"/>
          <a:ext cx="5632793" cy="4000500"/>
        </a:xfrm>
        <a:prstGeom prst="rect">
          <a:avLst/>
        </a:prstGeom>
      </xdr:spPr>
    </xdr:pic>
    <xdr:clientData/>
  </xdr:twoCellAnchor>
  <xdr:twoCellAnchor editAs="oneCell">
    <xdr:from>
      <xdr:col>8</xdr:col>
      <xdr:colOff>514351</xdr:colOff>
      <xdr:row>26</xdr:row>
      <xdr:rowOff>12948</xdr:rowOff>
    </xdr:from>
    <xdr:to>
      <xdr:col>18</xdr:col>
      <xdr:colOff>436294</xdr:colOff>
      <xdr:row>47</xdr:row>
      <xdr:rowOff>9525</xdr:rowOff>
    </xdr:to>
    <xdr:pic>
      <xdr:nvPicPr>
        <xdr:cNvPr id="6" name="Paveikslėlis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1" y="5727948"/>
          <a:ext cx="5589318" cy="399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L21" sqref="L21"/>
    </sheetView>
  </sheetViews>
  <sheetFormatPr defaultRowHeight="15" x14ac:dyDescent="0.25"/>
  <cols>
    <col min="1" max="1" width="5.7109375" customWidth="1"/>
    <col min="2" max="2" width="27.28515625" customWidth="1"/>
    <col min="3" max="3" width="9.140625" customWidth="1"/>
    <col min="4" max="4" width="7.85546875" customWidth="1"/>
    <col min="5" max="5" width="6.85546875" customWidth="1"/>
    <col min="6" max="7" width="7.140625" customWidth="1"/>
    <col min="8" max="8" width="8.28515625" customWidth="1"/>
    <col min="9" max="9" width="7.7109375" customWidth="1"/>
    <col min="10" max="10" width="7.42578125" customWidth="1"/>
    <col min="11" max="11" width="7.7109375" customWidth="1"/>
    <col min="12" max="12" width="6.5703125" customWidth="1"/>
    <col min="13" max="13" width="9" customWidth="1"/>
    <col min="14" max="14" width="8.140625" customWidth="1"/>
    <col min="15" max="15" width="9" customWidth="1"/>
    <col min="16" max="16" width="9.28515625" customWidth="1"/>
    <col min="17" max="17" width="13.42578125" customWidth="1"/>
  </cols>
  <sheetData>
    <row r="2" spans="1:16" ht="15.75" x14ac:dyDescent="0.25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0.25" customHeight="1" x14ac:dyDescent="0.25">
      <c r="A4" s="48" t="s">
        <v>0</v>
      </c>
      <c r="B4" s="48" t="s">
        <v>1</v>
      </c>
      <c r="C4" s="48" t="s">
        <v>28</v>
      </c>
      <c r="D4" s="36" t="s">
        <v>30</v>
      </c>
      <c r="E4" s="37"/>
      <c r="F4" s="37"/>
      <c r="G4" s="38"/>
      <c r="H4" s="36" t="s">
        <v>31</v>
      </c>
      <c r="I4" s="37"/>
      <c r="J4" s="37"/>
      <c r="K4" s="37"/>
      <c r="L4" s="38"/>
      <c r="M4" s="39" t="s">
        <v>33</v>
      </c>
      <c r="N4" s="40"/>
      <c r="O4" s="40"/>
      <c r="P4" s="41"/>
    </row>
    <row r="5" spans="1:16" ht="17.25" customHeight="1" x14ac:dyDescent="0.25">
      <c r="A5" s="50"/>
      <c r="B5" s="50"/>
      <c r="C5" s="50"/>
      <c r="D5" s="48" t="s">
        <v>29</v>
      </c>
      <c r="E5" s="48" t="s">
        <v>2</v>
      </c>
      <c r="F5" s="48" t="s">
        <v>3</v>
      </c>
      <c r="G5" s="48" t="s">
        <v>4</v>
      </c>
      <c r="H5" s="48" t="s">
        <v>28</v>
      </c>
      <c r="I5" s="36" t="s">
        <v>30</v>
      </c>
      <c r="J5" s="37"/>
      <c r="K5" s="37"/>
      <c r="L5" s="38"/>
      <c r="M5" s="42" t="s">
        <v>34</v>
      </c>
      <c r="N5" s="43"/>
      <c r="O5" s="43"/>
      <c r="P5" s="44"/>
    </row>
    <row r="6" spans="1:16" ht="33" customHeight="1" x14ac:dyDescent="0.25">
      <c r="A6" s="49"/>
      <c r="B6" s="49"/>
      <c r="C6" s="49"/>
      <c r="D6" s="49"/>
      <c r="E6" s="49"/>
      <c r="F6" s="49"/>
      <c r="G6" s="49"/>
      <c r="H6" s="49"/>
      <c r="I6" s="1" t="s">
        <v>32</v>
      </c>
      <c r="J6" s="1" t="s">
        <v>2</v>
      </c>
      <c r="K6" s="1" t="s">
        <v>3</v>
      </c>
      <c r="L6" s="6" t="s">
        <v>4</v>
      </c>
      <c r="M6" s="1" t="s">
        <v>32</v>
      </c>
      <c r="N6" s="1" t="s">
        <v>2</v>
      </c>
      <c r="O6" s="1" t="s">
        <v>3</v>
      </c>
      <c r="P6" s="6" t="s">
        <v>4</v>
      </c>
    </row>
    <row r="7" spans="1:16" ht="15.95" customHeight="1" x14ac:dyDescent="0.25">
      <c r="A7" s="45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ht="15.95" customHeight="1" x14ac:dyDescent="0.25">
      <c r="A8" s="8" t="s">
        <v>6</v>
      </c>
      <c r="B8" s="9" t="s">
        <v>7</v>
      </c>
      <c r="C8" s="12">
        <v>74</v>
      </c>
      <c r="D8" s="13">
        <v>82</v>
      </c>
      <c r="E8" s="13">
        <v>51</v>
      </c>
      <c r="F8" s="13">
        <f>29+2</f>
        <v>31</v>
      </c>
      <c r="G8" s="13" t="s">
        <v>42</v>
      </c>
      <c r="H8" s="12">
        <v>56</v>
      </c>
      <c r="I8" s="13">
        <v>57</v>
      </c>
      <c r="J8" s="13">
        <v>26</v>
      </c>
      <c r="K8" s="13">
        <f>29+2</f>
        <v>31</v>
      </c>
      <c r="L8" s="14" t="s">
        <v>42</v>
      </c>
      <c r="M8" s="14">
        <v>2</v>
      </c>
      <c r="N8" s="14">
        <v>0</v>
      </c>
      <c r="O8" s="14">
        <v>2</v>
      </c>
      <c r="P8" s="14" t="s">
        <v>42</v>
      </c>
    </row>
    <row r="9" spans="1:16" ht="15.95" customHeight="1" x14ac:dyDescent="0.25">
      <c r="A9" s="8" t="s">
        <v>8</v>
      </c>
      <c r="B9" s="9" t="s">
        <v>9</v>
      </c>
      <c r="C9" s="12">
        <v>56</v>
      </c>
      <c r="D9" s="13">
        <v>57</v>
      </c>
      <c r="E9" s="13">
        <v>30</v>
      </c>
      <c r="F9" s="13">
        <v>3</v>
      </c>
      <c r="G9" s="13">
        <v>24</v>
      </c>
      <c r="H9" s="12">
        <v>44.5</v>
      </c>
      <c r="I9" s="13">
        <v>45</v>
      </c>
      <c r="J9" s="13">
        <v>20</v>
      </c>
      <c r="K9" s="13">
        <v>2</v>
      </c>
      <c r="L9" s="14">
        <v>23</v>
      </c>
      <c r="M9" s="14">
        <v>7</v>
      </c>
      <c r="N9" s="14">
        <v>0</v>
      </c>
      <c r="O9" s="14">
        <v>0</v>
      </c>
      <c r="P9" s="14">
        <v>7</v>
      </c>
    </row>
    <row r="10" spans="1:16" ht="15.95" customHeight="1" x14ac:dyDescent="0.25">
      <c r="A10" s="8" t="s">
        <v>10</v>
      </c>
      <c r="B10" s="9" t="s">
        <v>11</v>
      </c>
      <c r="C10" s="12">
        <v>51.54</v>
      </c>
      <c r="D10" s="13">
        <v>49</v>
      </c>
      <c r="E10" s="13">
        <v>27</v>
      </c>
      <c r="F10" s="13">
        <v>2</v>
      </c>
      <c r="G10" s="13">
        <v>20</v>
      </c>
      <c r="H10" s="12">
        <v>39</v>
      </c>
      <c r="I10" s="13">
        <v>42</v>
      </c>
      <c r="J10" s="13">
        <v>20</v>
      </c>
      <c r="K10" s="13">
        <v>2</v>
      </c>
      <c r="L10" s="14">
        <v>20</v>
      </c>
      <c r="M10" s="14">
        <v>9</v>
      </c>
      <c r="N10" s="14">
        <v>0</v>
      </c>
      <c r="O10" s="14">
        <v>0</v>
      </c>
      <c r="P10" s="14">
        <v>9</v>
      </c>
    </row>
    <row r="11" spans="1:16" ht="15.95" customHeight="1" x14ac:dyDescent="0.25">
      <c r="A11" s="8" t="s">
        <v>12</v>
      </c>
      <c r="B11" s="9" t="s">
        <v>13</v>
      </c>
      <c r="C11" s="12">
        <v>10.5</v>
      </c>
      <c r="D11" s="13">
        <v>14</v>
      </c>
      <c r="E11" s="13">
        <v>9</v>
      </c>
      <c r="F11" s="13">
        <v>5</v>
      </c>
      <c r="G11" s="13" t="s">
        <v>42</v>
      </c>
      <c r="H11" s="12">
        <v>7.5</v>
      </c>
      <c r="I11" s="13">
        <v>8</v>
      </c>
      <c r="J11" s="13">
        <v>5</v>
      </c>
      <c r="K11" s="13">
        <v>3</v>
      </c>
      <c r="L11" s="14" t="s">
        <v>42</v>
      </c>
      <c r="M11" s="14">
        <v>1</v>
      </c>
      <c r="N11" s="14">
        <v>1</v>
      </c>
      <c r="O11" s="14">
        <v>0</v>
      </c>
      <c r="P11" s="14" t="s">
        <v>42</v>
      </c>
    </row>
    <row r="12" spans="1:16" ht="15.95" customHeight="1" x14ac:dyDescent="0.25">
      <c r="A12" s="8" t="s">
        <v>14</v>
      </c>
      <c r="B12" s="9" t="s">
        <v>15</v>
      </c>
      <c r="C12" s="12">
        <v>25.9</v>
      </c>
      <c r="D12" s="13">
        <v>28</v>
      </c>
      <c r="E12" s="13">
        <v>28</v>
      </c>
      <c r="F12" s="13" t="s">
        <v>42</v>
      </c>
      <c r="G12" s="13" t="s">
        <v>42</v>
      </c>
      <c r="H12" s="12">
        <v>21</v>
      </c>
      <c r="I12" s="13">
        <v>23</v>
      </c>
      <c r="J12" s="13">
        <v>23</v>
      </c>
      <c r="K12" s="13" t="s">
        <v>42</v>
      </c>
      <c r="L12" s="14" t="s">
        <v>42</v>
      </c>
      <c r="M12" s="14">
        <v>5</v>
      </c>
      <c r="N12" s="14">
        <v>5</v>
      </c>
      <c r="O12" s="14" t="s">
        <v>42</v>
      </c>
      <c r="P12" s="14" t="s">
        <v>42</v>
      </c>
    </row>
    <row r="13" spans="1:16" ht="15.95" customHeight="1" x14ac:dyDescent="0.25">
      <c r="A13" s="8" t="s">
        <v>16</v>
      </c>
      <c r="B13" s="9" t="s">
        <v>17</v>
      </c>
      <c r="C13" s="12">
        <v>35</v>
      </c>
      <c r="D13" s="13">
        <v>37</v>
      </c>
      <c r="E13" s="13">
        <v>21</v>
      </c>
      <c r="F13" s="13">
        <v>1</v>
      </c>
      <c r="G13" s="13">
        <v>15</v>
      </c>
      <c r="H13" s="12">
        <v>30</v>
      </c>
      <c r="I13" s="13">
        <v>32</v>
      </c>
      <c r="J13" s="13">
        <v>16</v>
      </c>
      <c r="K13" s="13">
        <v>1</v>
      </c>
      <c r="L13" s="14">
        <v>15</v>
      </c>
      <c r="M13" s="14">
        <v>6</v>
      </c>
      <c r="N13" s="14">
        <v>0</v>
      </c>
      <c r="O13" s="14">
        <v>0</v>
      </c>
      <c r="P13" s="14">
        <v>6</v>
      </c>
    </row>
    <row r="14" spans="1:16" ht="15.95" customHeight="1" x14ac:dyDescent="0.25">
      <c r="A14" s="8" t="s">
        <v>18</v>
      </c>
      <c r="B14" s="9" t="s">
        <v>19</v>
      </c>
      <c r="C14" s="12">
        <v>62.5</v>
      </c>
      <c r="D14" s="13">
        <v>66</v>
      </c>
      <c r="E14" s="13">
        <v>33</v>
      </c>
      <c r="F14" s="13" t="s">
        <v>42</v>
      </c>
      <c r="G14" s="13">
        <v>33</v>
      </c>
      <c r="H14" s="12">
        <v>48.75</v>
      </c>
      <c r="I14" s="13">
        <v>54</v>
      </c>
      <c r="J14" s="13">
        <v>24</v>
      </c>
      <c r="K14" s="13" t="s">
        <v>42</v>
      </c>
      <c r="L14" s="14">
        <v>30</v>
      </c>
      <c r="M14" s="14">
        <v>14</v>
      </c>
      <c r="N14" s="14">
        <v>0</v>
      </c>
      <c r="O14" s="14" t="s">
        <v>42</v>
      </c>
      <c r="P14" s="14">
        <v>14</v>
      </c>
    </row>
    <row r="15" spans="1:16" ht="15.95" customHeight="1" x14ac:dyDescent="0.25">
      <c r="A15" s="28" t="s">
        <v>20</v>
      </c>
      <c r="B15" s="28"/>
      <c r="C15" s="15">
        <f t="shared" ref="C15:P15" si="0">SUM(C8:C14)</f>
        <v>315.44</v>
      </c>
      <c r="D15" s="16">
        <f t="shared" si="0"/>
        <v>333</v>
      </c>
      <c r="E15" s="16">
        <f t="shared" si="0"/>
        <v>199</v>
      </c>
      <c r="F15" s="16">
        <f t="shared" si="0"/>
        <v>42</v>
      </c>
      <c r="G15" s="16">
        <f t="shared" si="0"/>
        <v>92</v>
      </c>
      <c r="H15" s="15">
        <f t="shared" si="0"/>
        <v>246.75</v>
      </c>
      <c r="I15" s="16">
        <f t="shared" si="0"/>
        <v>261</v>
      </c>
      <c r="J15" s="16">
        <f t="shared" si="0"/>
        <v>134</v>
      </c>
      <c r="K15" s="16">
        <f t="shared" si="0"/>
        <v>39</v>
      </c>
      <c r="L15" s="17">
        <f t="shared" si="0"/>
        <v>88</v>
      </c>
      <c r="M15" s="17">
        <f t="shared" si="0"/>
        <v>44</v>
      </c>
      <c r="N15" s="17">
        <f t="shared" si="0"/>
        <v>6</v>
      </c>
      <c r="O15" s="17">
        <f t="shared" si="0"/>
        <v>2</v>
      </c>
      <c r="P15" s="17">
        <f t="shared" si="0"/>
        <v>36</v>
      </c>
    </row>
    <row r="16" spans="1:16" ht="15.95" customHeight="1" x14ac:dyDescent="0.25">
      <c r="A16" s="33" t="s">
        <v>43</v>
      </c>
      <c r="B16" s="34"/>
      <c r="C16" s="15">
        <f>C15/7</f>
        <v>45.062857142857141</v>
      </c>
      <c r="D16" s="16">
        <f>D15/7</f>
        <v>47.571428571428569</v>
      </c>
      <c r="E16" s="16">
        <f>E15/7</f>
        <v>28.428571428571427</v>
      </c>
      <c r="F16" s="16">
        <f>F15/5</f>
        <v>8.4</v>
      </c>
      <c r="G16" s="16">
        <f>G15/4</f>
        <v>23</v>
      </c>
      <c r="H16" s="15">
        <f>H15/7</f>
        <v>35.25</v>
      </c>
      <c r="I16" s="16">
        <f>I15/7</f>
        <v>37.285714285714285</v>
      </c>
      <c r="J16" s="16">
        <f>J15/7</f>
        <v>19.142857142857142</v>
      </c>
      <c r="K16" s="16">
        <f>K15/5</f>
        <v>7.8</v>
      </c>
      <c r="L16" s="17">
        <f>L15/4</f>
        <v>22</v>
      </c>
      <c r="M16" s="17">
        <f>M15/7</f>
        <v>6.2857142857142856</v>
      </c>
      <c r="N16" s="25">
        <f>N15/7</f>
        <v>0.8571428571428571</v>
      </c>
      <c r="O16" s="25">
        <f>O15/5</f>
        <v>0.4</v>
      </c>
      <c r="P16" s="17">
        <f>P15/4</f>
        <v>9</v>
      </c>
    </row>
    <row r="17" spans="1:17" ht="15.95" customHeight="1" x14ac:dyDescent="0.25">
      <c r="A17" s="30" t="s">
        <v>21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7" ht="15.95" customHeight="1" x14ac:dyDescent="0.25">
      <c r="A18" s="8" t="s">
        <v>6</v>
      </c>
      <c r="B18" s="9" t="s">
        <v>22</v>
      </c>
      <c r="C18" s="12">
        <v>47.5</v>
      </c>
      <c r="D18" s="13">
        <v>52</v>
      </c>
      <c r="E18" s="13">
        <v>25</v>
      </c>
      <c r="F18" s="13">
        <v>2</v>
      </c>
      <c r="G18" s="13">
        <v>25</v>
      </c>
      <c r="H18" s="12">
        <v>34.75</v>
      </c>
      <c r="I18" s="13">
        <v>41</v>
      </c>
      <c r="J18" s="13">
        <v>16</v>
      </c>
      <c r="K18" s="13">
        <v>2</v>
      </c>
      <c r="L18" s="14">
        <v>23</v>
      </c>
      <c r="M18" s="14">
        <v>17</v>
      </c>
      <c r="N18" s="14">
        <v>0</v>
      </c>
      <c r="O18" s="14">
        <v>2</v>
      </c>
      <c r="P18" s="14">
        <v>15</v>
      </c>
    </row>
    <row r="19" spans="1:17" ht="15.95" customHeight="1" x14ac:dyDescent="0.25">
      <c r="A19" s="8" t="s">
        <v>8</v>
      </c>
      <c r="B19" s="9" t="s">
        <v>23</v>
      </c>
      <c r="C19" s="12">
        <v>14.5</v>
      </c>
      <c r="D19" s="13">
        <v>17</v>
      </c>
      <c r="E19" s="13">
        <v>9</v>
      </c>
      <c r="F19" s="13" t="s">
        <v>42</v>
      </c>
      <c r="G19" s="13">
        <v>8</v>
      </c>
      <c r="H19" s="12">
        <v>13</v>
      </c>
      <c r="I19" s="13">
        <v>15</v>
      </c>
      <c r="J19" s="13">
        <v>7</v>
      </c>
      <c r="K19" s="13" t="s">
        <v>42</v>
      </c>
      <c r="L19" s="14">
        <v>8</v>
      </c>
      <c r="M19" s="14">
        <v>8</v>
      </c>
      <c r="N19" s="14">
        <v>0</v>
      </c>
      <c r="O19" s="14" t="s">
        <v>42</v>
      </c>
      <c r="P19" s="14">
        <v>8</v>
      </c>
    </row>
    <row r="20" spans="1:17" ht="15.95" customHeight="1" x14ac:dyDescent="0.25">
      <c r="A20" s="8" t="s">
        <v>10</v>
      </c>
      <c r="B20" s="9" t="s">
        <v>24</v>
      </c>
      <c r="C20" s="12">
        <v>34</v>
      </c>
      <c r="D20" s="13">
        <v>44</v>
      </c>
      <c r="E20" s="13">
        <v>21</v>
      </c>
      <c r="F20" s="13" t="s">
        <v>42</v>
      </c>
      <c r="G20" s="13">
        <v>23</v>
      </c>
      <c r="H20" s="12">
        <v>27</v>
      </c>
      <c r="I20" s="13">
        <v>36</v>
      </c>
      <c r="J20" s="13">
        <v>13</v>
      </c>
      <c r="K20" s="13" t="s">
        <v>42</v>
      </c>
      <c r="L20" s="14">
        <v>23</v>
      </c>
      <c r="M20" s="14">
        <v>21</v>
      </c>
      <c r="N20" s="14">
        <v>1</v>
      </c>
      <c r="O20" s="14" t="s">
        <v>42</v>
      </c>
      <c r="P20" s="14">
        <v>20</v>
      </c>
      <c r="Q20" s="26"/>
    </row>
    <row r="21" spans="1:17" ht="15.95" customHeight="1" x14ac:dyDescent="0.25">
      <c r="A21" s="8" t="s">
        <v>12</v>
      </c>
      <c r="B21" s="9" t="s">
        <v>25</v>
      </c>
      <c r="C21" s="12">
        <v>61</v>
      </c>
      <c r="D21" s="13">
        <v>58</v>
      </c>
      <c r="E21" s="13">
        <v>29</v>
      </c>
      <c r="F21" s="13">
        <v>5</v>
      </c>
      <c r="G21" s="13">
        <v>24</v>
      </c>
      <c r="H21" s="12">
        <v>52.5</v>
      </c>
      <c r="I21" s="13">
        <v>50</v>
      </c>
      <c r="J21" s="13">
        <v>22</v>
      </c>
      <c r="K21" s="13">
        <v>4</v>
      </c>
      <c r="L21" s="14">
        <v>24</v>
      </c>
      <c r="M21" s="14">
        <v>9</v>
      </c>
      <c r="N21" s="14">
        <v>1</v>
      </c>
      <c r="O21" s="14">
        <v>0</v>
      </c>
      <c r="P21" s="14">
        <v>8</v>
      </c>
    </row>
    <row r="22" spans="1:17" ht="15.95" customHeight="1" x14ac:dyDescent="0.25">
      <c r="A22" s="28" t="s">
        <v>20</v>
      </c>
      <c r="B22" s="28"/>
      <c r="C22" s="15">
        <f t="shared" ref="C22:P22" si="1">SUM(C18:C21)</f>
        <v>157</v>
      </c>
      <c r="D22" s="16">
        <f t="shared" si="1"/>
        <v>171</v>
      </c>
      <c r="E22" s="16">
        <f t="shared" si="1"/>
        <v>84</v>
      </c>
      <c r="F22" s="16">
        <f t="shared" si="1"/>
        <v>7</v>
      </c>
      <c r="G22" s="16">
        <f t="shared" si="1"/>
        <v>80</v>
      </c>
      <c r="H22" s="15">
        <f t="shared" si="1"/>
        <v>127.25</v>
      </c>
      <c r="I22" s="16">
        <f t="shared" si="1"/>
        <v>142</v>
      </c>
      <c r="J22" s="16">
        <f t="shared" si="1"/>
        <v>58</v>
      </c>
      <c r="K22" s="16">
        <f t="shared" si="1"/>
        <v>6</v>
      </c>
      <c r="L22" s="17">
        <f t="shared" si="1"/>
        <v>78</v>
      </c>
      <c r="M22" s="17">
        <f t="shared" si="1"/>
        <v>55</v>
      </c>
      <c r="N22" s="17">
        <f t="shared" si="1"/>
        <v>2</v>
      </c>
      <c r="O22" s="17">
        <f t="shared" si="1"/>
        <v>2</v>
      </c>
      <c r="P22" s="17">
        <f t="shared" si="1"/>
        <v>51</v>
      </c>
    </row>
    <row r="23" spans="1:17" ht="15.95" customHeight="1" x14ac:dyDescent="0.25">
      <c r="A23" s="33" t="s">
        <v>43</v>
      </c>
      <c r="B23" s="34"/>
      <c r="C23" s="15">
        <f>C22/4</f>
        <v>39.25</v>
      </c>
      <c r="D23" s="16">
        <f>D22/4</f>
        <v>42.75</v>
      </c>
      <c r="E23" s="16">
        <f>E22/4</f>
        <v>21</v>
      </c>
      <c r="F23" s="16">
        <f>F22/2</f>
        <v>3.5</v>
      </c>
      <c r="G23" s="16">
        <f>G22/4</f>
        <v>20</v>
      </c>
      <c r="H23" s="15">
        <f>H22/4</f>
        <v>31.8125</v>
      </c>
      <c r="I23" s="16">
        <f>I22/4</f>
        <v>35.5</v>
      </c>
      <c r="J23" s="16">
        <f>J22/4</f>
        <v>14.5</v>
      </c>
      <c r="K23" s="16">
        <f>K22/2</f>
        <v>3</v>
      </c>
      <c r="L23" s="17">
        <f>L22/4</f>
        <v>19.5</v>
      </c>
      <c r="M23" s="17">
        <f>M22/4</f>
        <v>13.75</v>
      </c>
      <c r="N23" s="17">
        <f>N22/4</f>
        <v>0.5</v>
      </c>
      <c r="O23" s="17">
        <f>O22/2</f>
        <v>1</v>
      </c>
      <c r="P23" s="17">
        <f>P22/4</f>
        <v>12.75</v>
      </c>
    </row>
    <row r="24" spans="1:17" ht="27.75" customHeight="1" x14ac:dyDescent="0.25">
      <c r="A24" s="29" t="s">
        <v>26</v>
      </c>
      <c r="B24" s="29"/>
      <c r="C24" s="19">
        <f t="shared" ref="C24:P24" si="2">SUM(C15,C22)</f>
        <v>472.44</v>
      </c>
      <c r="D24" s="20">
        <f t="shared" si="2"/>
        <v>504</v>
      </c>
      <c r="E24" s="20">
        <f t="shared" si="2"/>
        <v>283</v>
      </c>
      <c r="F24" s="20">
        <f t="shared" si="2"/>
        <v>49</v>
      </c>
      <c r="G24" s="20">
        <f t="shared" si="2"/>
        <v>172</v>
      </c>
      <c r="H24" s="21">
        <f t="shared" si="2"/>
        <v>374</v>
      </c>
      <c r="I24" s="20">
        <f t="shared" si="2"/>
        <v>403</v>
      </c>
      <c r="J24" s="20">
        <f t="shared" si="2"/>
        <v>192</v>
      </c>
      <c r="K24" s="20">
        <f t="shared" si="2"/>
        <v>45</v>
      </c>
      <c r="L24" s="24">
        <f t="shared" si="2"/>
        <v>166</v>
      </c>
      <c r="M24" s="24">
        <f t="shared" si="2"/>
        <v>99</v>
      </c>
      <c r="N24" s="24">
        <f t="shared" si="2"/>
        <v>8</v>
      </c>
      <c r="O24" s="24">
        <f t="shared" si="2"/>
        <v>4</v>
      </c>
      <c r="P24" s="24">
        <f t="shared" si="2"/>
        <v>87</v>
      </c>
    </row>
    <row r="25" spans="1:17" ht="32.25" customHeight="1" x14ac:dyDescent="0.25">
      <c r="A25" s="29" t="s">
        <v>27</v>
      </c>
      <c r="B25" s="29"/>
      <c r="C25" s="19">
        <f>C24/11</f>
        <v>42.949090909090906</v>
      </c>
      <c r="D25" s="19">
        <f>D24/11</f>
        <v>45.81818181818182</v>
      </c>
      <c r="E25" s="19">
        <f>E24/11</f>
        <v>25.727272727272727</v>
      </c>
      <c r="F25" s="19">
        <f>F24/7</f>
        <v>7</v>
      </c>
      <c r="G25" s="19">
        <f>G24/8</f>
        <v>21.5</v>
      </c>
      <c r="H25" s="21">
        <f>H24/11</f>
        <v>34</v>
      </c>
      <c r="I25" s="19">
        <f>I24/11</f>
        <v>36.636363636363633</v>
      </c>
      <c r="J25" s="19">
        <f>J24/11</f>
        <v>17.454545454545453</v>
      </c>
      <c r="K25" s="19">
        <f>K24/7</f>
        <v>6.4285714285714288</v>
      </c>
      <c r="L25" s="22">
        <f>L24/8</f>
        <v>20.75</v>
      </c>
      <c r="M25" s="22">
        <f>M24/11</f>
        <v>9</v>
      </c>
      <c r="N25" s="22">
        <f>N24/5</f>
        <v>1.6</v>
      </c>
      <c r="O25" s="24">
        <f>O24/2</f>
        <v>2</v>
      </c>
      <c r="P25" s="22">
        <f>P24/8</f>
        <v>10.875</v>
      </c>
    </row>
  </sheetData>
  <mergeCells count="22">
    <mergeCell ref="A2:P2"/>
    <mergeCell ref="I5:L5"/>
    <mergeCell ref="M4:P4"/>
    <mergeCell ref="M5:P5"/>
    <mergeCell ref="A7:P7"/>
    <mergeCell ref="D4:G4"/>
    <mergeCell ref="H4:L4"/>
    <mergeCell ref="H5:H6"/>
    <mergeCell ref="A4:A6"/>
    <mergeCell ref="B4:B6"/>
    <mergeCell ref="C4:C6"/>
    <mergeCell ref="D5:D6"/>
    <mergeCell ref="E5:E6"/>
    <mergeCell ref="F5:F6"/>
    <mergeCell ref="G5:G6"/>
    <mergeCell ref="A15:B15"/>
    <mergeCell ref="A22:B22"/>
    <mergeCell ref="A24:B24"/>
    <mergeCell ref="A25:B25"/>
    <mergeCell ref="A17:P17"/>
    <mergeCell ref="A16:B16"/>
    <mergeCell ref="A23:B23"/>
  </mergeCells>
  <pageMargins left="0.70000000000000007" right="0.70000000000000007" top="0.75" bottom="0.75" header="0.30000000000000004" footer="0.30000000000000004"/>
  <pageSetup orientation="portrait" r:id="rId1"/>
  <ignoredErrors>
    <ignoredError sqref="K23 F23 O23:O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23"/>
  <sheetViews>
    <sheetView topLeftCell="A22" workbookViewId="0">
      <selection activeCell="L41" sqref="L41"/>
    </sheetView>
  </sheetViews>
  <sheetFormatPr defaultRowHeight="15" x14ac:dyDescent="0.25"/>
  <cols>
    <col min="1" max="1" width="5.42578125" customWidth="1"/>
    <col min="2" max="2" width="27.140625" customWidth="1"/>
    <col min="3" max="3" width="7.85546875" customWidth="1"/>
    <col min="4" max="4" width="6.5703125" customWidth="1"/>
    <col min="5" max="5" width="7.42578125" customWidth="1"/>
    <col min="6" max="6" width="7" customWidth="1"/>
    <col min="7" max="7" width="7.140625" customWidth="1"/>
    <col min="8" max="8" width="6.7109375" customWidth="1"/>
    <col min="9" max="9" width="7.42578125" customWidth="1"/>
    <col min="10" max="10" width="7" customWidth="1"/>
    <col min="11" max="12" width="6.7109375" customWidth="1"/>
    <col min="13" max="13" width="7.140625" customWidth="1"/>
    <col min="14" max="14" width="7.28515625" customWidth="1"/>
    <col min="15" max="15" width="6.5703125" customWidth="1"/>
    <col min="16" max="16" width="6.28515625" customWidth="1"/>
    <col min="17" max="17" width="7.140625" customWidth="1"/>
    <col min="18" max="18" width="7" customWidth="1"/>
    <col min="19" max="19" width="6.42578125" customWidth="1"/>
    <col min="20" max="20" width="5.85546875" customWidth="1"/>
    <col min="21" max="21" width="7.140625" customWidth="1"/>
    <col min="22" max="22" width="6.5703125" customWidth="1"/>
  </cols>
  <sheetData>
    <row r="2" spans="1:22" ht="15.75" x14ac:dyDescent="0.25">
      <c r="A2" s="35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6.5" customHeight="1" x14ac:dyDescent="0.25">
      <c r="A4" s="48" t="s">
        <v>0</v>
      </c>
      <c r="B4" s="61" t="s">
        <v>1</v>
      </c>
      <c r="C4" s="57" t="s">
        <v>35</v>
      </c>
      <c r="D4" s="58"/>
      <c r="E4" s="58"/>
      <c r="F4" s="58"/>
      <c r="G4" s="58"/>
      <c r="H4" s="58"/>
      <c r="I4" s="58"/>
      <c r="J4" s="59"/>
      <c r="K4" s="57" t="s">
        <v>37</v>
      </c>
      <c r="L4" s="58"/>
      <c r="M4" s="58"/>
      <c r="N4" s="58"/>
      <c r="O4" s="58"/>
      <c r="P4" s="58"/>
      <c r="Q4" s="58"/>
      <c r="R4" s="59"/>
      <c r="S4" s="64" t="s">
        <v>38</v>
      </c>
      <c r="T4" s="64"/>
      <c r="U4" s="64"/>
      <c r="V4" s="64"/>
    </row>
    <row r="5" spans="1:22" ht="18" customHeight="1" x14ac:dyDescent="0.25">
      <c r="A5" s="50"/>
      <c r="B5" s="62"/>
      <c r="C5" s="57" t="s">
        <v>32</v>
      </c>
      <c r="D5" s="58"/>
      <c r="E5" s="58"/>
      <c r="F5" s="59"/>
      <c r="G5" s="57" t="s">
        <v>36</v>
      </c>
      <c r="H5" s="58"/>
      <c r="I5" s="58"/>
      <c r="J5" s="59"/>
      <c r="K5" s="57" t="s">
        <v>32</v>
      </c>
      <c r="L5" s="58"/>
      <c r="M5" s="58"/>
      <c r="N5" s="59"/>
      <c r="O5" s="57" t="s">
        <v>36</v>
      </c>
      <c r="P5" s="58"/>
      <c r="Q5" s="58"/>
      <c r="R5" s="59"/>
      <c r="S5" s="51" t="s">
        <v>32</v>
      </c>
      <c r="T5" s="51" t="s">
        <v>2</v>
      </c>
      <c r="U5" s="53" t="s">
        <v>3</v>
      </c>
      <c r="V5" s="53" t="s">
        <v>4</v>
      </c>
    </row>
    <row r="6" spans="1:22" ht="30.75" customHeight="1" x14ac:dyDescent="0.25">
      <c r="A6" s="49"/>
      <c r="B6" s="63"/>
      <c r="C6" s="11" t="s">
        <v>32</v>
      </c>
      <c r="D6" s="11" t="s">
        <v>2</v>
      </c>
      <c r="E6" s="6" t="s">
        <v>3</v>
      </c>
      <c r="F6" s="6" t="s">
        <v>4</v>
      </c>
      <c r="G6" s="11" t="s">
        <v>32</v>
      </c>
      <c r="H6" s="11" t="s">
        <v>2</v>
      </c>
      <c r="I6" s="6" t="s">
        <v>3</v>
      </c>
      <c r="J6" s="6" t="s">
        <v>4</v>
      </c>
      <c r="K6" s="11" t="s">
        <v>32</v>
      </c>
      <c r="L6" s="11" t="s">
        <v>2</v>
      </c>
      <c r="M6" s="6" t="s">
        <v>3</v>
      </c>
      <c r="N6" s="6" t="s">
        <v>4</v>
      </c>
      <c r="O6" s="11" t="s">
        <v>32</v>
      </c>
      <c r="P6" s="11" t="s">
        <v>2</v>
      </c>
      <c r="Q6" s="6" t="s">
        <v>3</v>
      </c>
      <c r="R6" s="6" t="s">
        <v>4</v>
      </c>
      <c r="S6" s="52"/>
      <c r="T6" s="52"/>
      <c r="U6" s="54"/>
      <c r="V6" s="54"/>
    </row>
    <row r="7" spans="1:22" ht="15.95" customHeight="1" x14ac:dyDescent="0.25">
      <c r="A7" s="45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</row>
    <row r="8" spans="1:22" ht="15.95" customHeight="1" x14ac:dyDescent="0.25">
      <c r="A8" s="2" t="s">
        <v>6</v>
      </c>
      <c r="B8" s="7" t="s">
        <v>7</v>
      </c>
      <c r="C8" s="27">
        <v>43</v>
      </c>
      <c r="D8" s="27">
        <v>24</v>
      </c>
      <c r="E8" s="27">
        <f>18+1</f>
        <v>19</v>
      </c>
      <c r="F8" s="27" t="s">
        <v>42</v>
      </c>
      <c r="G8" s="27">
        <v>31</v>
      </c>
      <c r="H8" s="27">
        <v>16</v>
      </c>
      <c r="I8" s="27">
        <f>13+1</f>
        <v>14</v>
      </c>
      <c r="J8" s="27" t="s">
        <v>42</v>
      </c>
      <c r="K8" s="27">
        <v>14</v>
      </c>
      <c r="L8" s="27">
        <v>2</v>
      </c>
      <c r="M8" s="27">
        <f>11+1</f>
        <v>12</v>
      </c>
      <c r="N8" s="27" t="s">
        <v>42</v>
      </c>
      <c r="O8" s="27">
        <v>14</v>
      </c>
      <c r="P8" s="27">
        <v>2</v>
      </c>
      <c r="Q8" s="27">
        <f>11+1</f>
        <v>12</v>
      </c>
      <c r="R8" s="27" t="s">
        <v>42</v>
      </c>
      <c r="S8" s="27">
        <v>0</v>
      </c>
      <c r="T8" s="27">
        <v>0</v>
      </c>
      <c r="U8" s="27">
        <v>0</v>
      </c>
      <c r="V8" s="27" t="s">
        <v>42</v>
      </c>
    </row>
    <row r="9" spans="1:22" ht="15.95" customHeight="1" x14ac:dyDescent="0.25">
      <c r="A9" s="2" t="s">
        <v>8</v>
      </c>
      <c r="B9" s="7" t="s">
        <v>9</v>
      </c>
      <c r="C9" s="27">
        <v>30</v>
      </c>
      <c r="D9" s="27">
        <v>15</v>
      </c>
      <c r="E9" s="27">
        <v>2</v>
      </c>
      <c r="F9" s="27">
        <v>13</v>
      </c>
      <c r="G9" s="27">
        <v>11</v>
      </c>
      <c r="H9" s="27">
        <v>8</v>
      </c>
      <c r="I9" s="27">
        <v>1</v>
      </c>
      <c r="J9" s="27">
        <v>2</v>
      </c>
      <c r="K9" s="27">
        <v>14</v>
      </c>
      <c r="L9" s="27">
        <v>4</v>
      </c>
      <c r="M9" s="27">
        <v>0</v>
      </c>
      <c r="N9" s="27">
        <v>10</v>
      </c>
      <c r="O9" s="27">
        <v>9</v>
      </c>
      <c r="P9" s="27">
        <v>3</v>
      </c>
      <c r="Q9" s="27">
        <v>0</v>
      </c>
      <c r="R9" s="27">
        <v>6</v>
      </c>
      <c r="S9" s="27">
        <v>1</v>
      </c>
      <c r="T9" s="27">
        <v>1</v>
      </c>
      <c r="U9" s="27">
        <v>0</v>
      </c>
      <c r="V9" s="27">
        <v>0</v>
      </c>
    </row>
    <row r="10" spans="1:22" ht="15.95" customHeight="1" x14ac:dyDescent="0.25">
      <c r="A10" s="2" t="s">
        <v>10</v>
      </c>
      <c r="B10" s="7" t="s">
        <v>11</v>
      </c>
      <c r="C10" s="27">
        <v>23</v>
      </c>
      <c r="D10" s="27">
        <v>15</v>
      </c>
      <c r="E10" s="27">
        <v>0</v>
      </c>
      <c r="F10" s="27">
        <v>8</v>
      </c>
      <c r="G10" s="27">
        <v>9</v>
      </c>
      <c r="H10" s="27">
        <v>6</v>
      </c>
      <c r="I10" s="27">
        <v>0</v>
      </c>
      <c r="J10" s="27">
        <v>3</v>
      </c>
      <c r="K10" s="27">
        <v>16</v>
      </c>
      <c r="L10" s="27">
        <v>5</v>
      </c>
      <c r="M10" s="27">
        <v>1</v>
      </c>
      <c r="N10" s="27">
        <v>10</v>
      </c>
      <c r="O10" s="27">
        <v>9</v>
      </c>
      <c r="P10" s="27">
        <v>5</v>
      </c>
      <c r="Q10" s="27">
        <v>1</v>
      </c>
      <c r="R10" s="27">
        <v>3</v>
      </c>
      <c r="S10" s="27">
        <v>3</v>
      </c>
      <c r="T10" s="27">
        <v>0</v>
      </c>
      <c r="U10" s="27">
        <v>1</v>
      </c>
      <c r="V10" s="27">
        <v>2</v>
      </c>
    </row>
    <row r="11" spans="1:22" ht="15.95" customHeight="1" x14ac:dyDescent="0.25">
      <c r="A11" s="2" t="s">
        <v>12</v>
      </c>
      <c r="B11" s="7" t="s">
        <v>13</v>
      </c>
      <c r="C11" s="27">
        <v>4</v>
      </c>
      <c r="D11" s="27">
        <v>2</v>
      </c>
      <c r="E11" s="27">
        <v>2</v>
      </c>
      <c r="F11" s="27" t="s">
        <v>42</v>
      </c>
      <c r="G11" s="27">
        <v>0</v>
      </c>
      <c r="H11" s="27">
        <v>0</v>
      </c>
      <c r="I11" s="27">
        <v>0</v>
      </c>
      <c r="J11" s="27" t="s">
        <v>42</v>
      </c>
      <c r="K11" s="27">
        <v>3</v>
      </c>
      <c r="L11" s="27">
        <v>2</v>
      </c>
      <c r="M11" s="27">
        <v>1</v>
      </c>
      <c r="N11" s="27" t="s">
        <v>42</v>
      </c>
      <c r="O11" s="27">
        <v>2</v>
      </c>
      <c r="P11" s="27">
        <v>1</v>
      </c>
      <c r="Q11" s="27">
        <v>1</v>
      </c>
      <c r="R11" s="27" t="s">
        <v>42</v>
      </c>
      <c r="S11" s="27">
        <v>1</v>
      </c>
      <c r="T11" s="27">
        <v>1</v>
      </c>
      <c r="U11" s="27">
        <v>0</v>
      </c>
      <c r="V11" s="27" t="s">
        <v>42</v>
      </c>
    </row>
    <row r="12" spans="1:22" ht="15.95" customHeight="1" x14ac:dyDescent="0.25">
      <c r="A12" s="2" t="s">
        <v>14</v>
      </c>
      <c r="B12" s="7" t="s">
        <v>15</v>
      </c>
      <c r="C12" s="27">
        <v>19</v>
      </c>
      <c r="D12" s="27">
        <v>19</v>
      </c>
      <c r="E12" s="27" t="s">
        <v>42</v>
      </c>
      <c r="F12" s="27" t="s">
        <v>42</v>
      </c>
      <c r="G12" s="27">
        <v>10</v>
      </c>
      <c r="H12" s="27">
        <v>10</v>
      </c>
      <c r="I12" s="27" t="s">
        <v>42</v>
      </c>
      <c r="J12" s="27" t="s">
        <v>42</v>
      </c>
      <c r="K12" s="27">
        <v>4</v>
      </c>
      <c r="L12" s="27">
        <v>4</v>
      </c>
      <c r="M12" s="27" t="s">
        <v>42</v>
      </c>
      <c r="N12" s="27" t="s">
        <v>42</v>
      </c>
      <c r="O12" s="27">
        <v>3</v>
      </c>
      <c r="P12" s="27">
        <v>3</v>
      </c>
      <c r="Q12" s="27" t="s">
        <v>42</v>
      </c>
      <c r="R12" s="27" t="s">
        <v>42</v>
      </c>
      <c r="S12" s="27">
        <v>0</v>
      </c>
      <c r="T12" s="27">
        <v>0</v>
      </c>
      <c r="U12" s="27" t="s">
        <v>42</v>
      </c>
      <c r="V12" s="27" t="s">
        <v>42</v>
      </c>
    </row>
    <row r="13" spans="1:22" ht="15.95" customHeight="1" x14ac:dyDescent="0.25">
      <c r="A13" s="2" t="s">
        <v>16</v>
      </c>
      <c r="B13" s="7" t="s">
        <v>17</v>
      </c>
      <c r="C13" s="27">
        <v>18</v>
      </c>
      <c r="D13" s="27">
        <v>10</v>
      </c>
      <c r="E13" s="27">
        <v>1</v>
      </c>
      <c r="F13" s="27">
        <v>7</v>
      </c>
      <c r="G13" s="27">
        <v>7</v>
      </c>
      <c r="H13" s="27">
        <v>4</v>
      </c>
      <c r="I13" s="27">
        <v>0</v>
      </c>
      <c r="J13" s="27">
        <v>3</v>
      </c>
      <c r="K13" s="27">
        <v>12</v>
      </c>
      <c r="L13" s="27">
        <v>5</v>
      </c>
      <c r="M13" s="27">
        <v>0</v>
      </c>
      <c r="N13" s="27">
        <v>7</v>
      </c>
      <c r="O13" s="27">
        <v>8</v>
      </c>
      <c r="P13" s="27">
        <v>4</v>
      </c>
      <c r="Q13" s="27">
        <v>0</v>
      </c>
      <c r="R13" s="27">
        <v>4</v>
      </c>
      <c r="S13" s="27">
        <v>2</v>
      </c>
      <c r="T13" s="27">
        <v>1</v>
      </c>
      <c r="U13" s="27">
        <v>0</v>
      </c>
      <c r="V13" s="27">
        <v>1</v>
      </c>
    </row>
    <row r="14" spans="1:22" ht="15.95" customHeight="1" x14ac:dyDescent="0.25">
      <c r="A14" s="2" t="s">
        <v>18</v>
      </c>
      <c r="B14" s="7" t="s">
        <v>19</v>
      </c>
      <c r="C14" s="27">
        <v>40</v>
      </c>
      <c r="D14" s="27">
        <v>21</v>
      </c>
      <c r="E14" s="27" t="s">
        <v>42</v>
      </c>
      <c r="F14" s="27">
        <v>19</v>
      </c>
      <c r="G14" s="27">
        <v>14</v>
      </c>
      <c r="H14" s="27">
        <v>9</v>
      </c>
      <c r="I14" s="27" t="s">
        <v>42</v>
      </c>
      <c r="J14" s="27">
        <v>5</v>
      </c>
      <c r="K14" s="27">
        <v>9</v>
      </c>
      <c r="L14" s="27">
        <v>3</v>
      </c>
      <c r="M14" s="27" t="s">
        <v>42</v>
      </c>
      <c r="N14" s="27">
        <v>6</v>
      </c>
      <c r="O14" s="27">
        <v>6</v>
      </c>
      <c r="P14" s="27">
        <v>3</v>
      </c>
      <c r="Q14" s="27" t="s">
        <v>42</v>
      </c>
      <c r="R14" s="27">
        <v>3</v>
      </c>
      <c r="S14" s="27">
        <v>5</v>
      </c>
      <c r="T14" s="27">
        <v>0</v>
      </c>
      <c r="U14" s="27" t="s">
        <v>42</v>
      </c>
      <c r="V14" s="27">
        <v>5</v>
      </c>
    </row>
    <row r="15" spans="1:22" ht="15.95" customHeight="1" x14ac:dyDescent="0.25">
      <c r="A15" s="60" t="s">
        <v>20</v>
      </c>
      <c r="B15" s="33"/>
      <c r="C15" s="18">
        <f t="shared" ref="C15:V15" si="0">SUM(C8:C14)</f>
        <v>177</v>
      </c>
      <c r="D15" s="18">
        <f t="shared" si="0"/>
        <v>106</v>
      </c>
      <c r="E15" s="18">
        <f t="shared" si="0"/>
        <v>24</v>
      </c>
      <c r="F15" s="18">
        <f t="shared" si="0"/>
        <v>47</v>
      </c>
      <c r="G15" s="18">
        <f t="shared" si="0"/>
        <v>82</v>
      </c>
      <c r="H15" s="18">
        <f t="shared" si="0"/>
        <v>53</v>
      </c>
      <c r="I15" s="18">
        <f t="shared" si="0"/>
        <v>15</v>
      </c>
      <c r="J15" s="18">
        <f t="shared" si="0"/>
        <v>13</v>
      </c>
      <c r="K15" s="18">
        <f t="shared" si="0"/>
        <v>72</v>
      </c>
      <c r="L15" s="18">
        <f t="shared" si="0"/>
        <v>25</v>
      </c>
      <c r="M15" s="18">
        <f t="shared" si="0"/>
        <v>14</v>
      </c>
      <c r="N15" s="18">
        <f t="shared" si="0"/>
        <v>33</v>
      </c>
      <c r="O15" s="18">
        <f t="shared" si="0"/>
        <v>51</v>
      </c>
      <c r="P15" s="18">
        <f t="shared" si="0"/>
        <v>21</v>
      </c>
      <c r="Q15" s="18">
        <f t="shared" si="0"/>
        <v>14</v>
      </c>
      <c r="R15" s="18">
        <f t="shared" si="0"/>
        <v>16</v>
      </c>
      <c r="S15" s="18">
        <f t="shared" si="0"/>
        <v>12</v>
      </c>
      <c r="T15" s="18">
        <f t="shared" si="0"/>
        <v>3</v>
      </c>
      <c r="U15" s="18">
        <f t="shared" si="0"/>
        <v>1</v>
      </c>
      <c r="V15" s="18">
        <f t="shared" si="0"/>
        <v>8</v>
      </c>
    </row>
    <row r="16" spans="1:22" ht="15.95" customHeight="1" x14ac:dyDescent="0.25">
      <c r="A16" s="45" t="s">
        <v>21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</row>
    <row r="17" spans="1:22" ht="15.95" customHeight="1" x14ac:dyDescent="0.25">
      <c r="A17" s="2" t="s">
        <v>6</v>
      </c>
      <c r="B17" s="7" t="s">
        <v>22</v>
      </c>
      <c r="C17" s="27">
        <v>20</v>
      </c>
      <c r="D17" s="27">
        <v>9</v>
      </c>
      <c r="E17" s="27">
        <v>1</v>
      </c>
      <c r="F17" s="27">
        <v>10</v>
      </c>
      <c r="G17" s="27">
        <v>7</v>
      </c>
      <c r="H17" s="27">
        <v>4</v>
      </c>
      <c r="I17" s="27">
        <v>0</v>
      </c>
      <c r="J17" s="27">
        <v>3</v>
      </c>
      <c r="K17" s="27">
        <v>19</v>
      </c>
      <c r="L17" s="27">
        <v>7</v>
      </c>
      <c r="M17" s="27">
        <v>1</v>
      </c>
      <c r="N17" s="27">
        <v>11</v>
      </c>
      <c r="O17" s="27">
        <v>8</v>
      </c>
      <c r="P17" s="27">
        <v>5</v>
      </c>
      <c r="Q17" s="27">
        <v>1</v>
      </c>
      <c r="R17" s="27">
        <v>2</v>
      </c>
      <c r="S17" s="27">
        <v>2</v>
      </c>
      <c r="T17" s="27">
        <v>0</v>
      </c>
      <c r="U17" s="27">
        <v>0</v>
      </c>
      <c r="V17" s="27">
        <v>2</v>
      </c>
    </row>
    <row r="18" spans="1:22" ht="15.95" customHeight="1" x14ac:dyDescent="0.25">
      <c r="A18" s="2" t="s">
        <v>8</v>
      </c>
      <c r="B18" s="7" t="s">
        <v>23</v>
      </c>
      <c r="C18" s="27">
        <v>6</v>
      </c>
      <c r="D18" s="27">
        <v>5</v>
      </c>
      <c r="E18" s="27" t="s">
        <v>42</v>
      </c>
      <c r="F18" s="27">
        <v>1</v>
      </c>
      <c r="G18" s="27">
        <v>2</v>
      </c>
      <c r="H18" s="27">
        <v>2</v>
      </c>
      <c r="I18" s="27" t="s">
        <v>42</v>
      </c>
      <c r="J18" s="27">
        <v>0</v>
      </c>
      <c r="K18" s="27">
        <v>5</v>
      </c>
      <c r="L18" s="27">
        <v>1</v>
      </c>
      <c r="M18" s="27" t="s">
        <v>42</v>
      </c>
      <c r="N18" s="27">
        <v>4</v>
      </c>
      <c r="O18" s="27">
        <v>3</v>
      </c>
      <c r="P18" s="27">
        <v>1</v>
      </c>
      <c r="Q18" s="27" t="s">
        <v>42</v>
      </c>
      <c r="R18" s="27">
        <v>2</v>
      </c>
      <c r="S18" s="27">
        <v>4</v>
      </c>
      <c r="T18" s="27">
        <v>1</v>
      </c>
      <c r="U18" s="27" t="s">
        <v>42</v>
      </c>
      <c r="V18" s="27">
        <v>3</v>
      </c>
    </row>
    <row r="19" spans="1:22" ht="15.95" customHeight="1" x14ac:dyDescent="0.25">
      <c r="A19" s="2" t="s">
        <v>10</v>
      </c>
      <c r="B19" s="7" t="s">
        <v>24</v>
      </c>
      <c r="C19" s="27">
        <v>22</v>
      </c>
      <c r="D19" s="27">
        <v>8</v>
      </c>
      <c r="E19" s="27" t="s">
        <v>42</v>
      </c>
      <c r="F19" s="27">
        <v>14</v>
      </c>
      <c r="G19" s="27">
        <v>2</v>
      </c>
      <c r="H19" s="27">
        <v>2</v>
      </c>
      <c r="I19" s="27" t="s">
        <v>42</v>
      </c>
      <c r="J19" s="27">
        <v>0</v>
      </c>
      <c r="K19" s="27">
        <v>13</v>
      </c>
      <c r="L19" s="27">
        <v>5</v>
      </c>
      <c r="M19" s="27" t="s">
        <v>42</v>
      </c>
      <c r="N19" s="27">
        <v>8</v>
      </c>
      <c r="O19" s="27">
        <v>7</v>
      </c>
      <c r="P19" s="27">
        <v>3</v>
      </c>
      <c r="Q19" s="27" t="s">
        <v>42</v>
      </c>
      <c r="R19" s="27">
        <v>4</v>
      </c>
      <c r="S19" s="27">
        <v>1</v>
      </c>
      <c r="T19" s="27">
        <v>0</v>
      </c>
      <c r="U19" s="27" t="s">
        <v>42</v>
      </c>
      <c r="V19" s="27">
        <v>1</v>
      </c>
    </row>
    <row r="20" spans="1:22" ht="15.95" customHeight="1" x14ac:dyDescent="0.25">
      <c r="A20" s="2" t="s">
        <v>12</v>
      </c>
      <c r="B20" s="7" t="s">
        <v>25</v>
      </c>
      <c r="C20" s="27">
        <v>31</v>
      </c>
      <c r="D20" s="27">
        <v>17</v>
      </c>
      <c r="E20" s="27">
        <v>2</v>
      </c>
      <c r="F20" s="27">
        <v>12</v>
      </c>
      <c r="G20" s="27">
        <v>10</v>
      </c>
      <c r="H20" s="27">
        <v>7</v>
      </c>
      <c r="I20" s="27">
        <v>1</v>
      </c>
      <c r="J20" s="27">
        <v>2</v>
      </c>
      <c r="K20" s="27">
        <v>16</v>
      </c>
      <c r="L20" s="27">
        <v>5</v>
      </c>
      <c r="M20" s="27">
        <v>2</v>
      </c>
      <c r="N20" s="27">
        <v>9</v>
      </c>
      <c r="O20" s="27">
        <v>11</v>
      </c>
      <c r="P20" s="27">
        <v>5</v>
      </c>
      <c r="Q20" s="27">
        <v>2</v>
      </c>
      <c r="R20" s="27">
        <v>4</v>
      </c>
      <c r="S20" s="27">
        <v>3</v>
      </c>
      <c r="T20" s="27">
        <v>0</v>
      </c>
      <c r="U20" s="27">
        <v>0</v>
      </c>
      <c r="V20" s="27">
        <v>3</v>
      </c>
    </row>
    <row r="21" spans="1:22" ht="15.95" customHeight="1" x14ac:dyDescent="0.25">
      <c r="A21" s="60" t="s">
        <v>20</v>
      </c>
      <c r="B21" s="33"/>
      <c r="C21" s="18">
        <f t="shared" ref="C21:V21" si="1">SUM(C17:C20)</f>
        <v>79</v>
      </c>
      <c r="D21" s="18">
        <f t="shared" si="1"/>
        <v>39</v>
      </c>
      <c r="E21" s="18">
        <f t="shared" si="1"/>
        <v>3</v>
      </c>
      <c r="F21" s="18">
        <f t="shared" si="1"/>
        <v>37</v>
      </c>
      <c r="G21" s="18">
        <f t="shared" si="1"/>
        <v>21</v>
      </c>
      <c r="H21" s="18">
        <f t="shared" si="1"/>
        <v>15</v>
      </c>
      <c r="I21" s="18">
        <f t="shared" si="1"/>
        <v>1</v>
      </c>
      <c r="J21" s="18">
        <f t="shared" si="1"/>
        <v>5</v>
      </c>
      <c r="K21" s="18">
        <f t="shared" si="1"/>
        <v>53</v>
      </c>
      <c r="L21" s="18">
        <f t="shared" si="1"/>
        <v>18</v>
      </c>
      <c r="M21" s="18">
        <f t="shared" si="1"/>
        <v>3</v>
      </c>
      <c r="N21" s="18">
        <f t="shared" si="1"/>
        <v>32</v>
      </c>
      <c r="O21" s="18">
        <f t="shared" si="1"/>
        <v>29</v>
      </c>
      <c r="P21" s="18">
        <f t="shared" si="1"/>
        <v>14</v>
      </c>
      <c r="Q21" s="18">
        <f t="shared" si="1"/>
        <v>3</v>
      </c>
      <c r="R21" s="18">
        <f t="shared" si="1"/>
        <v>12</v>
      </c>
      <c r="S21" s="18">
        <f t="shared" si="1"/>
        <v>10</v>
      </c>
      <c r="T21" s="18">
        <f t="shared" si="1"/>
        <v>1</v>
      </c>
      <c r="U21" s="18">
        <f t="shared" si="1"/>
        <v>0</v>
      </c>
      <c r="V21" s="18">
        <f t="shared" si="1"/>
        <v>9</v>
      </c>
    </row>
    <row r="22" spans="1:22" ht="32.25" customHeight="1" x14ac:dyDescent="0.25">
      <c r="A22" s="55" t="s">
        <v>26</v>
      </c>
      <c r="B22" s="56"/>
      <c r="C22" s="23">
        <f t="shared" ref="C22:V22" si="2">SUM(C15,C21)</f>
        <v>256</v>
      </c>
      <c r="D22" s="23">
        <f t="shared" si="2"/>
        <v>145</v>
      </c>
      <c r="E22" s="23">
        <f t="shared" si="2"/>
        <v>27</v>
      </c>
      <c r="F22" s="23">
        <f t="shared" si="2"/>
        <v>84</v>
      </c>
      <c r="G22" s="23">
        <f t="shared" si="2"/>
        <v>103</v>
      </c>
      <c r="H22" s="23">
        <f t="shared" si="2"/>
        <v>68</v>
      </c>
      <c r="I22" s="23">
        <f t="shared" si="2"/>
        <v>16</v>
      </c>
      <c r="J22" s="23">
        <f t="shared" si="2"/>
        <v>18</v>
      </c>
      <c r="K22" s="23">
        <f t="shared" si="2"/>
        <v>125</v>
      </c>
      <c r="L22" s="23">
        <f t="shared" si="2"/>
        <v>43</v>
      </c>
      <c r="M22" s="23">
        <f t="shared" si="2"/>
        <v>17</v>
      </c>
      <c r="N22" s="23">
        <f t="shared" si="2"/>
        <v>65</v>
      </c>
      <c r="O22" s="23">
        <f t="shared" si="2"/>
        <v>80</v>
      </c>
      <c r="P22" s="23">
        <f t="shared" si="2"/>
        <v>35</v>
      </c>
      <c r="Q22" s="23">
        <f t="shared" si="2"/>
        <v>17</v>
      </c>
      <c r="R22" s="23">
        <f t="shared" si="2"/>
        <v>28</v>
      </c>
      <c r="S22" s="23">
        <f t="shared" si="2"/>
        <v>22</v>
      </c>
      <c r="T22" s="23">
        <f t="shared" si="2"/>
        <v>4</v>
      </c>
      <c r="U22" s="23">
        <f t="shared" si="2"/>
        <v>1</v>
      </c>
      <c r="V22" s="23">
        <f t="shared" si="2"/>
        <v>17</v>
      </c>
    </row>
    <row r="23" spans="1:22" ht="35.25" customHeight="1" x14ac:dyDescent="0.25">
      <c r="A23" s="55" t="s">
        <v>27</v>
      </c>
      <c r="B23" s="56"/>
      <c r="C23" s="22">
        <f>C22/11</f>
        <v>23.272727272727273</v>
      </c>
      <c r="D23" s="22">
        <f>D22/11</f>
        <v>13.181818181818182</v>
      </c>
      <c r="E23" s="22">
        <f>E22/7</f>
        <v>3.8571428571428572</v>
      </c>
      <c r="F23" s="22">
        <f>F22/8</f>
        <v>10.5</v>
      </c>
      <c r="G23" s="22">
        <f>G22/11</f>
        <v>9.3636363636363633</v>
      </c>
      <c r="H23" s="22">
        <f>H22/11</f>
        <v>6.1818181818181817</v>
      </c>
      <c r="I23" s="22">
        <f>I22/7</f>
        <v>2.2857142857142856</v>
      </c>
      <c r="J23" s="22">
        <f>J22/8</f>
        <v>2.25</v>
      </c>
      <c r="K23" s="22">
        <f>K22/11</f>
        <v>11.363636363636363</v>
      </c>
      <c r="L23" s="22">
        <f>L228/11</f>
        <v>0</v>
      </c>
      <c r="M23" s="22">
        <f>M22/7</f>
        <v>2.4285714285714284</v>
      </c>
      <c r="N23" s="22">
        <f>N22/8</f>
        <v>8.125</v>
      </c>
      <c r="O23" s="22">
        <f>O22/11</f>
        <v>7.2727272727272725</v>
      </c>
      <c r="P23" s="22">
        <f>P22/11</f>
        <v>3.1818181818181817</v>
      </c>
      <c r="Q23" s="22">
        <f>Q22/7</f>
        <v>2.4285714285714284</v>
      </c>
      <c r="R23" s="22">
        <f>R22/8</f>
        <v>3.5</v>
      </c>
      <c r="S23" s="22">
        <f>S22/11</f>
        <v>2</v>
      </c>
      <c r="T23" s="22">
        <f>T22/11</f>
        <v>0.36363636363636365</v>
      </c>
      <c r="U23" s="22">
        <f>U22/7</f>
        <v>0.14285714285714285</v>
      </c>
      <c r="V23" s="22">
        <f>V22/8</f>
        <v>2.125</v>
      </c>
    </row>
  </sheetData>
  <mergeCells count="20">
    <mergeCell ref="A23:B23"/>
    <mergeCell ref="C4:J4"/>
    <mergeCell ref="C5:F5"/>
    <mergeCell ref="G5:J5"/>
    <mergeCell ref="K4:R4"/>
    <mergeCell ref="K5:N5"/>
    <mergeCell ref="O5:R5"/>
    <mergeCell ref="A7:V7"/>
    <mergeCell ref="A16:V16"/>
    <mergeCell ref="A15:B15"/>
    <mergeCell ref="A21:B21"/>
    <mergeCell ref="A22:B22"/>
    <mergeCell ref="A4:A6"/>
    <mergeCell ref="B4:B6"/>
    <mergeCell ref="S4:V4"/>
    <mergeCell ref="S5:S6"/>
    <mergeCell ref="T5:T6"/>
    <mergeCell ref="U5:U6"/>
    <mergeCell ref="V5:V6"/>
    <mergeCell ref="A2:V2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27"/>
  <sheetViews>
    <sheetView tabSelected="1" topLeftCell="A25" workbookViewId="0">
      <selection activeCell="Q11" sqref="Q11"/>
    </sheetView>
  </sheetViews>
  <sheetFormatPr defaultRowHeight="15" x14ac:dyDescent="0.25"/>
  <cols>
    <col min="1" max="1" width="5.7109375" customWidth="1"/>
    <col min="2" max="2" width="27" customWidth="1"/>
    <col min="3" max="3" width="8.5703125" customWidth="1"/>
    <col min="4" max="4" width="7.85546875" customWidth="1"/>
    <col min="5" max="5" width="8" customWidth="1"/>
    <col min="6" max="6" width="7.42578125" customWidth="1"/>
    <col min="7" max="7" width="8.42578125" customWidth="1"/>
    <col min="8" max="9" width="7.85546875" customWidth="1"/>
    <col min="10" max="10" width="7.5703125" customWidth="1"/>
    <col min="11" max="11" width="9.140625" customWidth="1"/>
    <col min="12" max="13" width="7.7109375" customWidth="1"/>
    <col min="14" max="14" width="8.42578125" customWidth="1"/>
  </cols>
  <sheetData>
    <row r="2" spans="1:14" ht="15.75" x14ac:dyDescent="0.25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95" customHeight="1" x14ac:dyDescent="0.25">
      <c r="A4" s="48" t="s">
        <v>0</v>
      </c>
      <c r="B4" s="48" t="s">
        <v>1</v>
      </c>
      <c r="C4" s="61" t="s">
        <v>39</v>
      </c>
      <c r="D4" s="66"/>
      <c r="E4" s="66"/>
      <c r="F4" s="67"/>
      <c r="G4" s="61" t="s">
        <v>40</v>
      </c>
      <c r="H4" s="66"/>
      <c r="I4" s="66"/>
      <c r="J4" s="67"/>
      <c r="K4" s="61" t="s">
        <v>41</v>
      </c>
      <c r="L4" s="66"/>
      <c r="M4" s="66"/>
      <c r="N4" s="67"/>
    </row>
    <row r="5" spans="1:14" ht="15.95" customHeight="1" x14ac:dyDescent="0.25">
      <c r="A5" s="50"/>
      <c r="B5" s="50"/>
      <c r="C5" s="63"/>
      <c r="D5" s="68"/>
      <c r="E5" s="68"/>
      <c r="F5" s="69"/>
      <c r="G5" s="63"/>
      <c r="H5" s="68"/>
      <c r="I5" s="68"/>
      <c r="J5" s="69"/>
      <c r="K5" s="63"/>
      <c r="L5" s="68"/>
      <c r="M5" s="68"/>
      <c r="N5" s="69"/>
    </row>
    <row r="6" spans="1:14" ht="30.75" customHeight="1" x14ac:dyDescent="0.25">
      <c r="A6" s="50"/>
      <c r="B6" s="50"/>
      <c r="C6" s="4" t="s">
        <v>29</v>
      </c>
      <c r="D6" s="4" t="s">
        <v>2</v>
      </c>
      <c r="E6" s="4" t="s">
        <v>3</v>
      </c>
      <c r="F6" s="4" t="s">
        <v>4</v>
      </c>
      <c r="G6" s="4" t="s">
        <v>29</v>
      </c>
      <c r="H6" s="4" t="s">
        <v>2</v>
      </c>
      <c r="I6" s="4" t="s">
        <v>3</v>
      </c>
      <c r="J6" s="4" t="s">
        <v>4</v>
      </c>
      <c r="K6" s="4" t="s">
        <v>29</v>
      </c>
      <c r="L6" s="4" t="s">
        <v>2</v>
      </c>
      <c r="M6" s="4" t="s">
        <v>3</v>
      </c>
      <c r="N6" s="4" t="s">
        <v>4</v>
      </c>
    </row>
    <row r="7" spans="1:14" ht="15.95" customHeight="1" x14ac:dyDescent="0.25">
      <c r="A7" s="45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4" ht="15.95" customHeight="1" x14ac:dyDescent="0.25">
      <c r="A8" s="2" t="s">
        <v>6</v>
      </c>
      <c r="B8" s="3" t="s">
        <v>7</v>
      </c>
      <c r="C8" s="13">
        <f>22388/57</f>
        <v>392.77192982456143</v>
      </c>
      <c r="D8" s="13">
        <f>6027/26</f>
        <v>231.80769230769232</v>
      </c>
      <c r="E8" s="13">
        <f>15361/31</f>
        <v>495.51612903225805</v>
      </c>
      <c r="F8" s="13" t="s">
        <v>42</v>
      </c>
      <c r="G8" s="13">
        <f>282443/57</f>
        <v>4955.1403508771928</v>
      </c>
      <c r="H8" s="13">
        <f>88242/26</f>
        <v>3393.9230769230771</v>
      </c>
      <c r="I8" s="13">
        <f>(182640+11561)/31</f>
        <v>6264.5483870967746</v>
      </c>
      <c r="J8" s="13" t="s">
        <v>42</v>
      </c>
      <c r="K8" s="14">
        <f>501199/57</f>
        <v>8792.9649122807023</v>
      </c>
      <c r="L8" s="14">
        <f>164112/26</f>
        <v>6312</v>
      </c>
      <c r="M8" s="14">
        <f>(316040+21047)/31</f>
        <v>10873.774193548386</v>
      </c>
      <c r="N8" s="14" t="s">
        <v>42</v>
      </c>
    </row>
    <row r="9" spans="1:14" ht="15.95" customHeight="1" x14ac:dyDescent="0.25">
      <c r="A9" s="2" t="s">
        <v>8</v>
      </c>
      <c r="B9" s="3" t="s">
        <v>9</v>
      </c>
      <c r="C9" s="13">
        <f>10143/45</f>
        <v>225.4</v>
      </c>
      <c r="D9" s="13">
        <f>2745/20</f>
        <v>137.25</v>
      </c>
      <c r="E9" s="13">
        <f>654/2</f>
        <v>327</v>
      </c>
      <c r="F9" s="13">
        <f>6744/23</f>
        <v>293.21739130434781</v>
      </c>
      <c r="G9" s="13">
        <f>135444/45</f>
        <v>3009.8666666666668</v>
      </c>
      <c r="H9" s="13">
        <f>34022/20</f>
        <v>1701.1</v>
      </c>
      <c r="I9" s="13">
        <f>9042/2</f>
        <v>4521</v>
      </c>
      <c r="J9" s="13">
        <f>92380/23</f>
        <v>4016.521739130435</v>
      </c>
      <c r="K9" s="14">
        <f>198271/45</f>
        <v>4406.0222222222219</v>
      </c>
      <c r="L9" s="14">
        <f>28614/20</f>
        <v>1430.7</v>
      </c>
      <c r="M9" s="14">
        <f>17306/2</f>
        <v>8653</v>
      </c>
      <c r="N9" s="14">
        <f>152351/23</f>
        <v>6623.95652173913</v>
      </c>
    </row>
    <row r="10" spans="1:14" ht="15.95" customHeight="1" x14ac:dyDescent="0.25">
      <c r="A10" s="2" t="s">
        <v>10</v>
      </c>
      <c r="B10" s="3" t="s">
        <v>11</v>
      </c>
      <c r="C10" s="13">
        <f>5394/42</f>
        <v>128.42857142857142</v>
      </c>
      <c r="D10" s="13">
        <f>5394/20</f>
        <v>269.7</v>
      </c>
      <c r="E10" s="13">
        <f>0/2</f>
        <v>0</v>
      </c>
      <c r="F10" s="13">
        <f>21372/20</f>
        <v>1068.5999999999999</v>
      </c>
      <c r="G10" s="13">
        <f>165570/42</f>
        <v>3942.1428571428573</v>
      </c>
      <c r="H10" s="13">
        <f>111768/20</f>
        <v>5588.4</v>
      </c>
      <c r="I10" s="13">
        <f>6083/2</f>
        <v>3041.5</v>
      </c>
      <c r="J10" s="13">
        <f>47719/20</f>
        <v>2385.9499999999998</v>
      </c>
      <c r="K10" s="14">
        <f>149164/42</f>
        <v>3551.5238095238096</v>
      </c>
      <c r="L10" s="14">
        <f>43708/20</f>
        <v>2185.4</v>
      </c>
      <c r="M10" s="14">
        <f>18198/2</f>
        <v>9099</v>
      </c>
      <c r="N10" s="14">
        <f>87258/20</f>
        <v>4362.8999999999996</v>
      </c>
    </row>
    <row r="11" spans="1:14" ht="15.95" customHeight="1" x14ac:dyDescent="0.25">
      <c r="A11" s="2" t="s">
        <v>12</v>
      </c>
      <c r="B11" s="3" t="s">
        <v>13</v>
      </c>
      <c r="C11" s="13">
        <f>1267/8</f>
        <v>158.375</v>
      </c>
      <c r="D11" s="13">
        <f>704/5</f>
        <v>140.80000000000001</v>
      </c>
      <c r="E11" s="13">
        <f>563/3</f>
        <v>187.66666666666666</v>
      </c>
      <c r="F11" s="13" t="s">
        <v>42</v>
      </c>
      <c r="G11" s="13">
        <f>12255/8</f>
        <v>1531.875</v>
      </c>
      <c r="H11" s="13">
        <f>6385/5</f>
        <v>1277</v>
      </c>
      <c r="I11" s="13">
        <f>5870/3</f>
        <v>1956.6666666666667</v>
      </c>
      <c r="J11" s="13" t="s">
        <v>42</v>
      </c>
      <c r="K11" s="14">
        <f>18862/8</f>
        <v>2357.75</v>
      </c>
      <c r="L11" s="14">
        <f>7348/5</f>
        <v>1469.6</v>
      </c>
      <c r="M11" s="14">
        <f>11514/3</f>
        <v>3838</v>
      </c>
      <c r="N11" s="14" t="s">
        <v>42</v>
      </c>
    </row>
    <row r="12" spans="1:14" ht="15.95" customHeight="1" x14ac:dyDescent="0.25">
      <c r="A12" s="2" t="s">
        <v>14</v>
      </c>
      <c r="B12" s="3" t="s">
        <v>15</v>
      </c>
      <c r="C12" s="13">
        <f>4382/23</f>
        <v>190.52173913043478</v>
      </c>
      <c r="D12" s="13">
        <f>4382/23</f>
        <v>190.52173913043478</v>
      </c>
      <c r="E12" s="13" t="s">
        <v>42</v>
      </c>
      <c r="F12" s="13" t="s">
        <v>42</v>
      </c>
      <c r="G12" s="13">
        <f>56072/23</f>
        <v>2437.913043478261</v>
      </c>
      <c r="H12" s="13">
        <f>56072/23</f>
        <v>2437.913043478261</v>
      </c>
      <c r="I12" s="13" t="s">
        <v>42</v>
      </c>
      <c r="J12" s="13" t="s">
        <v>42</v>
      </c>
      <c r="K12" s="14">
        <f>82110/23</f>
        <v>3570</v>
      </c>
      <c r="L12" s="14">
        <f>82110/23</f>
        <v>3570</v>
      </c>
      <c r="M12" s="14" t="s">
        <v>42</v>
      </c>
      <c r="N12" s="14" t="s">
        <v>42</v>
      </c>
    </row>
    <row r="13" spans="1:14" ht="15.95" customHeight="1" x14ac:dyDescent="0.25">
      <c r="A13" s="2" t="s">
        <v>16</v>
      </c>
      <c r="B13" s="3" t="s">
        <v>17</v>
      </c>
      <c r="C13" s="13">
        <f>3770/32</f>
        <v>117.8125</v>
      </c>
      <c r="D13" s="13">
        <f>1158/16</f>
        <v>72.375</v>
      </c>
      <c r="E13" s="13">
        <f>172/1</f>
        <v>172</v>
      </c>
      <c r="F13" s="13">
        <f>2440/15</f>
        <v>162.66666666666666</v>
      </c>
      <c r="G13" s="13">
        <f>43093/32</f>
        <v>1346.65625</v>
      </c>
      <c r="H13" s="13">
        <f>14114/16</f>
        <v>882.125</v>
      </c>
      <c r="I13" s="13">
        <f>2360/1</f>
        <v>2360</v>
      </c>
      <c r="J13" s="13">
        <f>26619/15</f>
        <v>1774.6</v>
      </c>
      <c r="K13" s="14">
        <f>104889/32</f>
        <v>3277.78125</v>
      </c>
      <c r="L13" s="14">
        <f>33800/16</f>
        <v>2112.5</v>
      </c>
      <c r="M13" s="14">
        <f>4174/1</f>
        <v>4174</v>
      </c>
      <c r="N13" s="14">
        <f>66915/15</f>
        <v>4461</v>
      </c>
    </row>
    <row r="14" spans="1:14" ht="15.95" customHeight="1" x14ac:dyDescent="0.25">
      <c r="A14" s="2" t="s">
        <v>18</v>
      </c>
      <c r="B14" s="3" t="s">
        <v>19</v>
      </c>
      <c r="C14" s="13">
        <f>5162/54</f>
        <v>95.592592592592595</v>
      </c>
      <c r="D14" s="13">
        <f>5162/24</f>
        <v>215.08333333333334</v>
      </c>
      <c r="E14" s="13" t="s">
        <v>42</v>
      </c>
      <c r="F14" s="13">
        <f>0/30</f>
        <v>0</v>
      </c>
      <c r="G14" s="13">
        <f>121077/54</f>
        <v>2242.1666666666665</v>
      </c>
      <c r="H14" s="13">
        <f>30042/24</f>
        <v>1251.75</v>
      </c>
      <c r="I14" s="13" t="s">
        <v>42</v>
      </c>
      <c r="J14" s="13">
        <f>91035/30</f>
        <v>3034.5</v>
      </c>
      <c r="K14" s="14">
        <f>147467/54</f>
        <v>2730.8703703703704</v>
      </c>
      <c r="L14" s="14">
        <f>34717/24</f>
        <v>1446.5416666666667</v>
      </c>
      <c r="M14" s="14" t="s">
        <v>42</v>
      </c>
      <c r="N14" s="14">
        <f>112750/30</f>
        <v>3758.3333333333335</v>
      </c>
    </row>
    <row r="15" spans="1:14" ht="15.95" customHeight="1" x14ac:dyDescent="0.25">
      <c r="A15" s="60" t="s">
        <v>20</v>
      </c>
      <c r="B15" s="60"/>
      <c r="C15" s="16">
        <f t="shared" ref="C15:J15" si="0">SUM(C8:C14)</f>
        <v>1308.9023329761603</v>
      </c>
      <c r="D15" s="16">
        <f t="shared" si="0"/>
        <v>1257.5377647714604</v>
      </c>
      <c r="E15" s="16">
        <f t="shared" si="0"/>
        <v>1182.1827956989246</v>
      </c>
      <c r="F15" s="16">
        <f t="shared" si="0"/>
        <v>1524.4840579710144</v>
      </c>
      <c r="G15" s="16">
        <f t="shared" si="0"/>
        <v>19465.760834831646</v>
      </c>
      <c r="H15" s="16">
        <f t="shared" si="0"/>
        <v>16532.211120401338</v>
      </c>
      <c r="I15" s="16">
        <f t="shared" si="0"/>
        <v>18143.715053763441</v>
      </c>
      <c r="J15" s="16">
        <f t="shared" si="0"/>
        <v>11211.571739130435</v>
      </c>
      <c r="K15" s="17">
        <f>SUM(K8:K14)</f>
        <v>28686.912564397106</v>
      </c>
      <c r="L15" s="17">
        <f>SUM(L8:L14)</f>
        <v>18526.741666666669</v>
      </c>
      <c r="M15" s="17">
        <f>SUM(M8:M14)</f>
        <v>36637.774193548386</v>
      </c>
      <c r="N15" s="17">
        <f>SUM(N8:N14)</f>
        <v>19206.189855072462</v>
      </c>
    </row>
    <row r="16" spans="1:14" ht="15.95" customHeight="1" x14ac:dyDescent="0.25">
      <c r="A16" s="33" t="s">
        <v>43</v>
      </c>
      <c r="B16" s="34"/>
      <c r="C16" s="16">
        <f>C15/7</f>
        <v>186.98604756802291</v>
      </c>
      <c r="D16" s="16">
        <f>D15/7</f>
        <v>179.64825211020863</v>
      </c>
      <c r="E16" s="16">
        <f>E15/5</f>
        <v>236.43655913978492</v>
      </c>
      <c r="F16" s="16">
        <f>F15/4</f>
        <v>381.1210144927536</v>
      </c>
      <c r="G16" s="16">
        <f>G15/7</f>
        <v>2780.8229764045209</v>
      </c>
      <c r="H16" s="16">
        <f>H15/7</f>
        <v>2361.7444457716197</v>
      </c>
      <c r="I16" s="16">
        <f>I15/5</f>
        <v>3628.743010752688</v>
      </c>
      <c r="J16" s="16">
        <f>J15/4</f>
        <v>2802.8929347826088</v>
      </c>
      <c r="K16" s="17">
        <f>K15/7</f>
        <v>4098.1303663424433</v>
      </c>
      <c r="L16" s="17">
        <f>L15/7</f>
        <v>2646.6773809523811</v>
      </c>
      <c r="M16" s="17">
        <f>M15/5</f>
        <v>7327.5548387096769</v>
      </c>
      <c r="N16" s="17">
        <f>N15/4</f>
        <v>4801.5474637681154</v>
      </c>
    </row>
    <row r="17" spans="1:14" ht="15.95" customHeight="1" x14ac:dyDescent="0.25">
      <c r="A17" s="45" t="s">
        <v>21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15.95" customHeight="1" x14ac:dyDescent="0.25">
      <c r="A18" s="2" t="s">
        <v>6</v>
      </c>
      <c r="B18" s="3" t="s">
        <v>22</v>
      </c>
      <c r="C18" s="13">
        <f>7110/41</f>
        <v>173.41463414634146</v>
      </c>
      <c r="D18" s="13">
        <f>3589/16</f>
        <v>224.3125</v>
      </c>
      <c r="E18" s="13">
        <f>189/2</f>
        <v>94.5</v>
      </c>
      <c r="F18" s="13">
        <f>3332/23</f>
        <v>144.86956521739131</v>
      </c>
      <c r="G18" s="13">
        <f>78687/41</f>
        <v>1919.1951219512196</v>
      </c>
      <c r="H18" s="13">
        <f>211702/16</f>
        <v>13231.375</v>
      </c>
      <c r="I18" s="13">
        <f>3733/2</f>
        <v>1866.5</v>
      </c>
      <c r="J18" s="13">
        <f>57852/23</f>
        <v>2515.304347826087</v>
      </c>
      <c r="K18" s="14">
        <f>123158/41</f>
        <v>3003.8536585365855</v>
      </c>
      <c r="L18" s="14">
        <f>28104/16</f>
        <v>1756.5</v>
      </c>
      <c r="M18" s="14">
        <f>7864/2</f>
        <v>3932</v>
      </c>
      <c r="N18" s="14">
        <f>87190/24</f>
        <v>3632.9166666666665</v>
      </c>
    </row>
    <row r="19" spans="1:14" ht="15.95" customHeight="1" x14ac:dyDescent="0.25">
      <c r="A19" s="2" t="s">
        <v>8</v>
      </c>
      <c r="B19" s="3" t="s">
        <v>23</v>
      </c>
      <c r="C19" s="13">
        <f>947/15</f>
        <v>63.133333333333333</v>
      </c>
      <c r="D19" s="13">
        <f>0/7</f>
        <v>0</v>
      </c>
      <c r="E19" s="13" t="s">
        <v>42</v>
      </c>
      <c r="F19" s="13">
        <f>947/8</f>
        <v>118.375</v>
      </c>
      <c r="G19" s="13">
        <f>24081/15</f>
        <v>1605.4</v>
      </c>
      <c r="H19" s="13">
        <f>12654/7</f>
        <v>1807.7142857142858</v>
      </c>
      <c r="I19" s="13" t="s">
        <v>42</v>
      </c>
      <c r="J19" s="13">
        <f>11427/8</f>
        <v>1428.375</v>
      </c>
      <c r="K19" s="14">
        <f>26481/15</f>
        <v>1765.4</v>
      </c>
      <c r="L19" s="14">
        <f>0/7</f>
        <v>0</v>
      </c>
      <c r="M19" s="14" t="s">
        <v>42</v>
      </c>
      <c r="N19" s="14">
        <f>26481/8</f>
        <v>3310.125</v>
      </c>
    </row>
    <row r="20" spans="1:14" ht="15.95" customHeight="1" x14ac:dyDescent="0.25">
      <c r="A20" s="2" t="s">
        <v>10</v>
      </c>
      <c r="B20" s="3" t="s">
        <v>24</v>
      </c>
      <c r="C20" s="13">
        <f>4276/36</f>
        <v>118.77777777777777</v>
      </c>
      <c r="D20" s="13">
        <f>1392/13</f>
        <v>107.07692307692308</v>
      </c>
      <c r="E20" s="13" t="s">
        <v>42</v>
      </c>
      <c r="F20" s="13">
        <f>2884/23</f>
        <v>125.39130434782609</v>
      </c>
      <c r="G20" s="13">
        <f>57738/36</f>
        <v>1603.8333333333333</v>
      </c>
      <c r="H20" s="13">
        <f>27560/13</f>
        <v>2120</v>
      </c>
      <c r="I20" s="13" t="s">
        <v>42</v>
      </c>
      <c r="J20" s="13">
        <f>30178/23</f>
        <v>1312.0869565217392</v>
      </c>
      <c r="K20" s="14">
        <f>94190/36</f>
        <v>2616.3888888888887</v>
      </c>
      <c r="L20" s="14">
        <f>31633/13</f>
        <v>2433.3076923076924</v>
      </c>
      <c r="M20" s="14" t="s">
        <v>42</v>
      </c>
      <c r="N20" s="14">
        <f>62557/23</f>
        <v>2719.8695652173915</v>
      </c>
    </row>
    <row r="21" spans="1:14" ht="15.95" customHeight="1" x14ac:dyDescent="0.25">
      <c r="A21" s="2" t="s">
        <v>12</v>
      </c>
      <c r="B21" s="3" t="s">
        <v>25</v>
      </c>
      <c r="C21" s="13">
        <f>5422/50</f>
        <v>108.44</v>
      </c>
      <c r="D21" s="13">
        <f>5422/22</f>
        <v>246.45454545454547</v>
      </c>
      <c r="E21" s="13">
        <f>0/4</f>
        <v>0</v>
      </c>
      <c r="F21" s="13">
        <f>0/24</f>
        <v>0</v>
      </c>
      <c r="G21" s="13">
        <f>90545/50</f>
        <v>1810.9</v>
      </c>
      <c r="H21" s="13">
        <f>33360/22</f>
        <v>1516.3636363636363</v>
      </c>
      <c r="I21" s="13">
        <f>6327/4</f>
        <v>1581.75</v>
      </c>
      <c r="J21" s="13">
        <f>50858/24</f>
        <v>2119.0833333333335</v>
      </c>
      <c r="K21" s="14">
        <f>128797/50</f>
        <v>2575.94</v>
      </c>
      <c r="L21" s="14">
        <f>51128/22</f>
        <v>2324</v>
      </c>
      <c r="M21" s="14">
        <f>82804</f>
        <v>82804</v>
      </c>
      <c r="N21" s="14">
        <f>69389/24</f>
        <v>2891.2083333333335</v>
      </c>
    </row>
    <row r="22" spans="1:14" ht="15.95" customHeight="1" x14ac:dyDescent="0.25">
      <c r="A22" s="60" t="s">
        <v>20</v>
      </c>
      <c r="B22" s="60"/>
      <c r="C22" s="16">
        <f t="shared" ref="C22:J22" si="1">SUM(C18:C21)</f>
        <v>463.76574525745258</v>
      </c>
      <c r="D22" s="16">
        <f t="shared" si="1"/>
        <v>577.84396853146859</v>
      </c>
      <c r="E22" s="16">
        <f t="shared" si="1"/>
        <v>94.5</v>
      </c>
      <c r="F22" s="16">
        <f t="shared" si="1"/>
        <v>388.63586956521738</v>
      </c>
      <c r="G22" s="16">
        <f t="shared" si="1"/>
        <v>6939.3284552845525</v>
      </c>
      <c r="H22" s="16">
        <f t="shared" si="1"/>
        <v>18675.452922077922</v>
      </c>
      <c r="I22" s="16">
        <f t="shared" si="1"/>
        <v>3448.25</v>
      </c>
      <c r="J22" s="16">
        <f t="shared" si="1"/>
        <v>7374.8496376811599</v>
      </c>
      <c r="K22" s="17">
        <f>SUM(K18:K21)</f>
        <v>9961.5825474254743</v>
      </c>
      <c r="L22" s="17">
        <f>SUM(L18:L21)</f>
        <v>6513.8076923076924</v>
      </c>
      <c r="M22" s="17">
        <f>SUM(M18:M21)</f>
        <v>86736</v>
      </c>
      <c r="N22" s="17">
        <f>SUM(N18:N21)</f>
        <v>12554.119565217392</v>
      </c>
    </row>
    <row r="23" spans="1:14" ht="15.95" customHeight="1" x14ac:dyDescent="0.25">
      <c r="A23" s="33" t="s">
        <v>43</v>
      </c>
      <c r="B23" s="34"/>
      <c r="C23" s="16">
        <f>C22/4</f>
        <v>115.94143631436314</v>
      </c>
      <c r="D23" s="16">
        <f>D22/4</f>
        <v>144.46099213286715</v>
      </c>
      <c r="E23" s="16">
        <f>E22/2</f>
        <v>47.25</v>
      </c>
      <c r="F23" s="16">
        <f>F22/4</f>
        <v>97.158967391304344</v>
      </c>
      <c r="G23" s="16">
        <f>G22/4</f>
        <v>1734.8321138211381</v>
      </c>
      <c r="H23" s="16">
        <f>H22/4</f>
        <v>4668.8632305194806</v>
      </c>
      <c r="I23" s="16">
        <f>I22/2</f>
        <v>1724.125</v>
      </c>
      <c r="J23" s="16">
        <f>J22/4</f>
        <v>1843.71240942029</v>
      </c>
      <c r="K23" s="17">
        <f>K22/4</f>
        <v>2490.3956368563686</v>
      </c>
      <c r="L23" s="17">
        <f>L22/4</f>
        <v>1628.4519230769231</v>
      </c>
      <c r="M23" s="17">
        <f>M22/2</f>
        <v>43368</v>
      </c>
      <c r="N23" s="17">
        <f>N22/4</f>
        <v>3138.529891304348</v>
      </c>
    </row>
    <row r="24" spans="1:14" ht="28.5" customHeight="1" x14ac:dyDescent="0.25">
      <c r="A24" s="55" t="s">
        <v>26</v>
      </c>
      <c r="B24" s="55"/>
      <c r="C24" s="20">
        <f t="shared" ref="C24:J24" si="2">SUM(C15,C22)</f>
        <v>1772.668078233613</v>
      </c>
      <c r="D24" s="20">
        <f t="shared" si="2"/>
        <v>1835.381733302929</v>
      </c>
      <c r="E24" s="20">
        <f t="shared" si="2"/>
        <v>1276.6827956989246</v>
      </c>
      <c r="F24" s="20">
        <f t="shared" si="2"/>
        <v>1913.1199275362319</v>
      </c>
      <c r="G24" s="20">
        <f t="shared" si="2"/>
        <v>26405.089290116201</v>
      </c>
      <c r="H24" s="20">
        <f t="shared" si="2"/>
        <v>35207.664042479257</v>
      </c>
      <c r="I24" s="20">
        <f t="shared" si="2"/>
        <v>21591.965053763441</v>
      </c>
      <c r="J24" s="20">
        <f t="shared" si="2"/>
        <v>18586.421376811595</v>
      </c>
      <c r="K24" s="24">
        <f>SUM(K15,K22)</f>
        <v>38648.49511182258</v>
      </c>
      <c r="L24" s="24">
        <f>SUM(L15,L22)</f>
        <v>25040.54935897436</v>
      </c>
      <c r="M24" s="24">
        <f>SUM(M15,M22)</f>
        <v>123373.77419354839</v>
      </c>
      <c r="N24" s="24">
        <f>SUM(N15,N22)</f>
        <v>31760.309420289854</v>
      </c>
    </row>
    <row r="25" spans="1:14" ht="30" customHeight="1" x14ac:dyDescent="0.25">
      <c r="A25" s="55" t="s">
        <v>27</v>
      </c>
      <c r="B25" s="55"/>
      <c r="C25" s="20">
        <f>C24/11</f>
        <v>161.151643475783</v>
      </c>
      <c r="D25" s="20">
        <f>D24/11</f>
        <v>166.85288484572081</v>
      </c>
      <c r="E25" s="20">
        <f>E24/7</f>
        <v>182.3832565284178</v>
      </c>
      <c r="F25" s="20">
        <f>F24/8</f>
        <v>239.13999094202899</v>
      </c>
      <c r="G25" s="20">
        <f>G24/11</f>
        <v>2400.4626627378366</v>
      </c>
      <c r="H25" s="20">
        <f>H24/11</f>
        <v>3200.6967311344779</v>
      </c>
      <c r="I25" s="20">
        <f>I24/7</f>
        <v>3084.5664362519201</v>
      </c>
      <c r="J25" s="20">
        <f>J24/8</f>
        <v>2323.3026721014494</v>
      </c>
      <c r="K25" s="24">
        <f>K24/11</f>
        <v>3513.4995556202343</v>
      </c>
      <c r="L25" s="24">
        <f>L24/11</f>
        <v>2276.4135780885781</v>
      </c>
      <c r="M25" s="24">
        <f>M24/7</f>
        <v>17624.824884792626</v>
      </c>
      <c r="N25" s="24">
        <f>N24/8</f>
        <v>3970.0386775362317</v>
      </c>
    </row>
    <row r="27" spans="1:14" ht="15" customHeight="1" x14ac:dyDescent="0.25">
      <c r="C27" s="10"/>
    </row>
  </sheetData>
  <mergeCells count="14">
    <mergeCell ref="A2:N2"/>
    <mergeCell ref="A25:B25"/>
    <mergeCell ref="C4:F5"/>
    <mergeCell ref="G4:J5"/>
    <mergeCell ref="K4:N5"/>
    <mergeCell ref="A7:N7"/>
    <mergeCell ref="A15:B15"/>
    <mergeCell ref="A17:N17"/>
    <mergeCell ref="A22:B22"/>
    <mergeCell ref="A24:B24"/>
    <mergeCell ref="A4:A6"/>
    <mergeCell ref="B4:B6"/>
    <mergeCell ref="A23:B23"/>
    <mergeCell ref="A16:B16"/>
  </mergeCells>
  <pageMargins left="0.70000000000000007" right="0.70000000000000007" top="0.75" bottom="0.75" header="0.30000000000000004" footer="0.30000000000000004"/>
  <pageSetup orientation="portrait" r:id="rId1"/>
  <ignoredErrors>
    <ignoredError sqref="E23 I23 M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4.1. Personalas</vt:lpstr>
      <vt:lpstr>4.2. Išsilavinimas</vt:lpstr>
      <vt:lpstr>4.3. Veiklos efektyvumas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Levokaitė</dc:creator>
  <cp:lastModifiedBy>Živilė Levokaitė</cp:lastModifiedBy>
  <dcterms:created xsi:type="dcterms:W3CDTF">2020-05-06T11:13:30Z</dcterms:created>
  <dcterms:modified xsi:type="dcterms:W3CDTF">2022-08-03T12:45:33Z</dcterms:modified>
</cp:coreProperties>
</file>